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5.xml" ContentType="application/vnd.openxmlformats-officedocument.drawing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drawings/drawing7.xml" ContentType="application/vnd.openxmlformats-officedocument.drawingml.chartshapes+xml"/>
  <Override PartName="/xl/charts/chart2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0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1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2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3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4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5.xml" ContentType="application/vnd.openxmlformats-officedocument.drawing+xml"/>
  <Override PartName="/xl/charts/chart5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 tabRatio="841"/>
  </bookViews>
  <sheets>
    <sheet name="Table Of Contents" sheetId="31" r:id="rId1"/>
    <sheet name="Starbucks" sheetId="27" r:id="rId2"/>
    <sheet name="R squared" sheetId="1" r:id="rId3"/>
    <sheet name="R squared - horizontal data" sheetId="4" r:id="rId4"/>
    <sheet name="U.S. State Population" sheetId="8" r:id="rId5"/>
    <sheet name="Correlation_Shapes" sheetId="20" r:id="rId6"/>
    <sheet name="Stock Correlation" sheetId="22" r:id="rId7"/>
    <sheet name="Stocks and Bonds" sheetId="21" r:id="rId8"/>
    <sheet name="Modern Family" sheetId="6" r:id="rId9"/>
    <sheet name="Modern Family Multiple Regressi" sheetId="25" r:id="rId10"/>
    <sheet name="Exponential Regression" sheetId="23" r:id="rId11"/>
    <sheet name="Moores Law Regression" sheetId="12" r:id="rId12"/>
    <sheet name="Multiple Regression-2 Independe" sheetId="28" r:id="rId13"/>
    <sheet name="Multiple Regression-3 Indepen" sheetId="26" r:id="rId14"/>
    <sheet name="Intercept" sheetId="29" r:id="rId15"/>
    <sheet name="Residual" sheetId="30" r:id="rId16"/>
    <sheet name="Adjusted R2" sheetId="32" r:id="rId17"/>
  </sheets>
  <definedNames>
    <definedName name="_xlnm._FilterDatabase" localSheetId="11" hidden="1">'Moores Law Regression'!$A$6:$F$6</definedName>
    <definedName name="_xlnm._FilterDatabase" localSheetId="1" hidden="1">Starbucks!$H$6:$I$6</definedName>
    <definedName name="_xlnm._FilterDatabase" localSheetId="4" hidden="1">'U.S. State Population'!$A$12:$B$12</definedName>
  </definedNames>
  <calcPr calcId="152511" concurrentCalc="0"/>
</workbook>
</file>

<file path=xl/calcChain.xml><?xml version="1.0" encoding="utf-8"?>
<calcChain xmlns="http://schemas.openxmlformats.org/spreadsheetml/2006/main">
  <c r="U59" i="26" l="1"/>
  <c r="S59" i="26"/>
  <c r="R59" i="26"/>
  <c r="Q59" i="26"/>
  <c r="P59" i="26"/>
  <c r="O59" i="26"/>
  <c r="N59" i="26"/>
  <c r="S58" i="26"/>
  <c r="R58" i="26"/>
  <c r="Q58" i="26"/>
  <c r="P58" i="26"/>
  <c r="O58" i="26"/>
  <c r="N58" i="26"/>
  <c r="S57" i="26"/>
  <c r="R57" i="26"/>
  <c r="Q57" i="26"/>
  <c r="P57" i="26"/>
  <c r="O57" i="26"/>
  <c r="N57" i="26"/>
  <c r="S56" i="26"/>
  <c r="R56" i="26"/>
  <c r="Q56" i="26"/>
  <c r="P56" i="26"/>
  <c r="O56" i="26"/>
  <c r="N56" i="26"/>
  <c r="I56" i="26" a="1"/>
  <c r="K56" i="26"/>
  <c r="I56" i="26"/>
  <c r="J56" i="26"/>
  <c r="L56" i="26"/>
  <c r="I57" i="26"/>
  <c r="J57" i="26"/>
  <c r="L57" i="26"/>
  <c r="I58" i="26"/>
  <c r="J58" i="26"/>
  <c r="L58" i="26"/>
  <c r="I59" i="26"/>
  <c r="J59" i="26"/>
  <c r="L59" i="26"/>
  <c r="E59" i="26"/>
  <c r="D59" i="26"/>
  <c r="C59" i="26"/>
  <c r="B59" i="26"/>
  <c r="K59" i="26"/>
  <c r="K58" i="26"/>
  <c r="K57" i="26"/>
  <c r="K33" i="28"/>
  <c r="K34" i="28"/>
  <c r="K35" i="28"/>
  <c r="K36" i="28"/>
  <c r="K37" i="28"/>
  <c r="K38" i="28"/>
  <c r="K39" i="28"/>
  <c r="K40" i="28"/>
  <c r="K41" i="28"/>
  <c r="K32" i="28"/>
  <c r="I55" i="28"/>
  <c r="H55" i="28"/>
  <c r="G55" i="28"/>
  <c r="I54" i="28"/>
  <c r="H54" i="28"/>
  <c r="G54" i="28"/>
  <c r="I53" i="28"/>
  <c r="H53" i="28"/>
  <c r="G53" i="28"/>
  <c r="K53" i="28" a="1"/>
  <c r="L53" i="28"/>
  <c r="M54" i="28"/>
  <c r="M55" i="28"/>
  <c r="L54" i="28"/>
  <c r="K53" i="28"/>
  <c r="L55" i="28"/>
  <c r="K54" i="28"/>
  <c r="K55" i="28"/>
  <c r="M53" i="28"/>
  <c r="E32" i="28"/>
  <c r="E33" i="28"/>
  <c r="E34" i="28"/>
  <c r="E35" i="28"/>
  <c r="E36" i="28"/>
  <c r="E37" i="28"/>
  <c r="E38" i="28"/>
  <c r="E39" i="28"/>
  <c r="E40" i="28"/>
  <c r="E41" i="28"/>
  <c r="V55" i="28"/>
  <c r="R55" i="28"/>
  <c r="W55" i="28"/>
  <c r="S55" i="28"/>
  <c r="O55" i="28"/>
  <c r="X55" i="28"/>
  <c r="T55" i="28"/>
  <c r="P55" i="28"/>
  <c r="U55" i="28"/>
  <c r="Q55" i="28"/>
  <c r="U54" i="28"/>
  <c r="Q54" i="28"/>
  <c r="V54" i="28"/>
  <c r="R54" i="28"/>
  <c r="W54" i="28"/>
  <c r="S54" i="28"/>
  <c r="O54" i="28"/>
  <c r="X54" i="28"/>
  <c r="T54" i="28"/>
  <c r="P54" i="28"/>
  <c r="X53" i="28"/>
  <c r="T53" i="28"/>
  <c r="P53" i="28"/>
  <c r="U53" i="28"/>
  <c r="Q53" i="28"/>
  <c r="V53" i="28"/>
  <c r="R53" i="28"/>
  <c r="W53" i="28"/>
  <c r="S53" i="28"/>
  <c r="O53" i="28"/>
  <c r="Z53" i="28"/>
  <c r="Z54" i="28"/>
  <c r="Z55" i="28"/>
  <c r="C38" i="26"/>
  <c r="D38" i="26"/>
  <c r="E38" i="26"/>
  <c r="F38" i="26"/>
  <c r="G38" i="26"/>
  <c r="H38" i="26"/>
  <c r="C39" i="26"/>
  <c r="D39" i="26"/>
  <c r="E39" i="26"/>
  <c r="F39" i="26"/>
  <c r="G39" i="26"/>
  <c r="H39" i="26"/>
  <c r="C40" i="26"/>
  <c r="D40" i="26"/>
  <c r="E40" i="26"/>
  <c r="F40" i="26"/>
  <c r="G40" i="26"/>
  <c r="H40" i="26"/>
  <c r="B39" i="26"/>
  <c r="B40" i="26"/>
  <c r="B38" i="26"/>
  <c r="E58" i="26"/>
  <c r="D58" i="26"/>
  <c r="C58" i="26"/>
  <c r="D56" i="26"/>
  <c r="C56" i="26"/>
  <c r="B56" i="26"/>
  <c r="E56" i="26"/>
  <c r="D57" i="26"/>
  <c r="C57" i="26"/>
  <c r="E57" i="26"/>
  <c r="B57" i="26"/>
  <c r="B58" i="26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C53" i="32"/>
  <c r="C54" i="32"/>
  <c r="C55" i="32"/>
  <c r="C56" i="32"/>
  <c r="C57" i="32"/>
  <c r="C58" i="32"/>
  <c r="C59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C73" i="32"/>
  <c r="C74" i="32"/>
  <c r="C75" i="32"/>
  <c r="C76" i="32"/>
  <c r="C77" i="32"/>
  <c r="C78" i="32"/>
  <c r="C79" i="32"/>
  <c r="C80" i="32"/>
  <c r="C81" i="32"/>
  <c r="C82" i="32"/>
  <c r="C83" i="32"/>
  <c r="C84" i="32"/>
  <c r="C85" i="32"/>
  <c r="C86" i="32"/>
  <c r="C87" i="32"/>
  <c r="C88" i="32"/>
  <c r="C89" i="32"/>
  <c r="C90" i="32"/>
  <c r="C91" i="32"/>
  <c r="C92" i="32"/>
  <c r="C93" i="32"/>
  <c r="C94" i="32"/>
  <c r="C95" i="32"/>
  <c r="C96" i="32"/>
  <c r="C97" i="32"/>
  <c r="C98" i="32"/>
  <c r="C99" i="32"/>
  <c r="C100" i="32"/>
  <c r="C101" i="32"/>
  <c r="C102" i="32"/>
  <c r="C103" i="32"/>
  <c r="C104" i="32"/>
  <c r="C105" i="32"/>
  <c r="C106" i="32"/>
  <c r="C107" i="32"/>
  <c r="C108" i="32"/>
  <c r="C109" i="32"/>
  <c r="C110" i="32"/>
  <c r="C111" i="32"/>
  <c r="C112" i="32"/>
  <c r="C16" i="32"/>
  <c r="C17" i="32"/>
  <c r="C18" i="32"/>
  <c r="C15" i="32"/>
  <c r="U57" i="26"/>
  <c r="U58" i="26"/>
  <c r="U56" i="26"/>
  <c r="AJ134" i="25"/>
  <c r="AJ135" i="25"/>
  <c r="AJ136" i="25"/>
  <c r="AJ137" i="25"/>
  <c r="AJ138" i="25"/>
  <c r="AJ139" i="25"/>
  <c r="AJ140" i="25"/>
  <c r="AJ141" i="25"/>
  <c r="AJ142" i="25"/>
  <c r="AJ143" i="25"/>
  <c r="AJ133" i="25"/>
  <c r="G4" i="30"/>
  <c r="G5" i="30"/>
  <c r="E8" i="30"/>
  <c r="D8" i="30"/>
  <c r="E7" i="30"/>
  <c r="D7" i="30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6" i="29"/>
  <c r="G6" i="30"/>
  <c r="J12" i="30"/>
  <c r="G14" i="30"/>
  <c r="G18" i="30"/>
  <c r="G22" i="30"/>
  <c r="G26" i="30"/>
  <c r="G30" i="30"/>
  <c r="J11" i="30"/>
  <c r="G15" i="30"/>
  <c r="G19" i="30"/>
  <c r="G23" i="30"/>
  <c r="G27" i="30"/>
  <c r="G31" i="30"/>
  <c r="G12" i="30"/>
  <c r="G16" i="30"/>
  <c r="G20" i="30"/>
  <c r="G24" i="30"/>
  <c r="G28" i="30"/>
  <c r="G11" i="30"/>
  <c r="G13" i="30"/>
  <c r="G17" i="30"/>
  <c r="G21" i="30"/>
  <c r="G25" i="30"/>
  <c r="G29" i="30"/>
  <c r="CD90" i="6"/>
  <c r="CD91" i="6"/>
  <c r="CD92" i="6"/>
  <c r="CD93" i="6"/>
  <c r="CD94" i="6"/>
  <c r="CD95" i="6"/>
  <c r="CD96" i="6"/>
  <c r="CD97" i="6"/>
  <c r="CD98" i="6"/>
  <c r="CD99" i="6"/>
  <c r="CD100" i="6"/>
  <c r="CD101" i="6"/>
  <c r="CD102" i="6"/>
  <c r="CD103" i="6"/>
  <c r="CD104" i="6"/>
  <c r="CD105" i="6"/>
  <c r="CD106" i="6"/>
  <c r="CD107" i="6"/>
  <c r="CD108" i="6"/>
  <c r="CD109" i="6"/>
  <c r="CD85" i="6"/>
  <c r="AH16" i="25"/>
  <c r="AH17" i="25"/>
  <c r="AH18" i="25"/>
  <c r="AH19" i="25"/>
  <c r="AH20" i="25"/>
  <c r="AH21" i="25"/>
  <c r="AH22" i="25"/>
  <c r="AH23" i="25"/>
  <c r="AH24" i="25"/>
  <c r="AH25" i="25"/>
  <c r="AH26" i="25"/>
  <c r="AH27" i="25"/>
  <c r="AH28" i="25"/>
  <c r="AH29" i="25"/>
  <c r="AH30" i="25"/>
  <c r="AH31" i="25"/>
  <c r="AH32" i="25"/>
  <c r="AH33" i="25"/>
  <c r="AH34" i="25"/>
  <c r="AH35" i="25"/>
  <c r="AH36" i="25"/>
  <c r="AH37" i="25"/>
  <c r="AH38" i="25"/>
  <c r="AH39" i="25"/>
  <c r="AH40" i="25"/>
  <c r="AH41" i="25"/>
  <c r="AH42" i="25"/>
  <c r="AH43" i="25"/>
  <c r="AH44" i="25"/>
  <c r="AH45" i="25"/>
  <c r="AH46" i="25"/>
  <c r="AH47" i="25"/>
  <c r="AH48" i="25"/>
  <c r="AH49" i="25"/>
  <c r="AH50" i="25"/>
  <c r="AH51" i="25"/>
  <c r="AH52" i="25"/>
  <c r="AH53" i="25"/>
  <c r="AH54" i="25"/>
  <c r="AH55" i="25"/>
  <c r="AH56" i="25"/>
  <c r="AH57" i="25"/>
  <c r="AH58" i="25"/>
  <c r="AH59" i="25"/>
  <c r="AH60" i="25"/>
  <c r="AH61" i="25"/>
  <c r="AH62" i="25"/>
  <c r="AH63" i="25"/>
  <c r="AH64" i="25"/>
  <c r="AH65" i="25"/>
  <c r="AH66" i="25"/>
  <c r="AH67" i="25"/>
  <c r="AH68" i="25"/>
  <c r="AH69" i="25"/>
  <c r="AH70" i="25"/>
  <c r="AH71" i="25"/>
  <c r="AH72" i="25"/>
  <c r="AH73" i="25"/>
  <c r="AH74" i="25"/>
  <c r="AH75" i="25"/>
  <c r="AH76" i="25"/>
  <c r="AH77" i="25"/>
  <c r="AH78" i="25"/>
  <c r="AH79" i="25"/>
  <c r="AH80" i="25"/>
  <c r="AH81" i="25"/>
  <c r="AH82" i="25"/>
  <c r="AH83" i="25"/>
  <c r="AH84" i="25"/>
  <c r="AH85" i="25"/>
  <c r="AH86" i="25"/>
  <c r="AH87" i="25"/>
  <c r="AH88" i="25"/>
  <c r="AH89" i="25"/>
  <c r="AH90" i="25"/>
  <c r="AH91" i="25"/>
  <c r="AH92" i="25"/>
  <c r="AH93" i="25"/>
  <c r="AH94" i="25"/>
  <c r="AH95" i="25"/>
  <c r="AH96" i="25"/>
  <c r="AH97" i="25"/>
  <c r="AH98" i="25"/>
  <c r="AH99" i="25"/>
  <c r="AH100" i="25"/>
  <c r="AH101" i="25"/>
  <c r="AH102" i="25"/>
  <c r="AH103" i="25"/>
  <c r="AH104" i="25"/>
  <c r="AH105" i="25"/>
  <c r="AH106" i="25"/>
  <c r="AH107" i="25"/>
  <c r="AH108" i="25"/>
  <c r="AH109" i="25"/>
  <c r="AH110" i="25"/>
  <c r="AH111" i="25"/>
  <c r="AH112" i="25"/>
  <c r="AH113" i="25"/>
  <c r="AH114" i="25"/>
  <c r="AH115" i="25"/>
  <c r="AH116" i="25"/>
  <c r="AH117" i="25"/>
  <c r="AH118" i="25"/>
  <c r="AH119" i="25"/>
  <c r="AH120" i="25"/>
  <c r="AH121" i="25"/>
  <c r="AH122" i="25"/>
  <c r="AH123" i="25"/>
  <c r="AH124" i="25"/>
  <c r="AH125" i="25"/>
  <c r="AH126" i="25"/>
  <c r="AH127" i="25"/>
  <c r="AH128" i="25"/>
  <c r="AH129" i="25"/>
  <c r="AH130" i="25"/>
  <c r="AH131" i="25"/>
  <c r="AH132" i="25"/>
  <c r="AH15" i="25"/>
  <c r="AI14" i="25"/>
  <c r="AJ14" i="25"/>
  <c r="AH14" i="25"/>
  <c r="K6" i="28"/>
  <c r="F12" i="28"/>
  <c r="F11" i="28"/>
  <c r="E12" i="28"/>
  <c r="E11" i="28"/>
  <c r="G16" i="28"/>
  <c r="G17" i="28"/>
  <c r="G18" i="28"/>
  <c r="G19" i="28"/>
  <c r="G20" i="28"/>
  <c r="G21" i="28"/>
  <c r="G22" i="28"/>
  <c r="G23" i="28"/>
  <c r="G24" i="28"/>
  <c r="G15" i="28"/>
  <c r="K9" i="28"/>
  <c r="K20" i="28"/>
  <c r="G12" i="28"/>
  <c r="K16" i="28"/>
  <c r="K24" i="28"/>
  <c r="K17" i="28"/>
  <c r="K21" i="28"/>
  <c r="K18" i="28"/>
  <c r="K22" i="28"/>
  <c r="K19" i="28"/>
  <c r="J6" i="28"/>
  <c r="G11" i="28"/>
  <c r="K23" i="28"/>
  <c r="K12" i="28"/>
  <c r="K15" i="28"/>
  <c r="K11" i="28"/>
  <c r="J9" i="28"/>
  <c r="J23" i="28"/>
  <c r="R27" i="22"/>
  <c r="R28" i="22"/>
  <c r="R29" i="22"/>
  <c r="R30" i="22"/>
  <c r="R31" i="22"/>
  <c r="R32" i="22"/>
  <c r="R33" i="22"/>
  <c r="R34" i="22"/>
  <c r="R35" i="22"/>
  <c r="R36" i="22"/>
  <c r="R37" i="22"/>
  <c r="R26" i="22"/>
  <c r="Q27" i="22"/>
  <c r="Q28" i="22"/>
  <c r="Q29" i="22"/>
  <c r="Q30" i="22"/>
  <c r="Q31" i="22"/>
  <c r="Q32" i="22"/>
  <c r="Q33" i="22"/>
  <c r="Q34" i="22"/>
  <c r="Q35" i="22"/>
  <c r="Q36" i="22"/>
  <c r="Q37" i="22"/>
  <c r="Q26" i="22"/>
  <c r="F27" i="22"/>
  <c r="G27" i="22"/>
  <c r="H27" i="22"/>
  <c r="I27" i="22"/>
  <c r="J27" i="22"/>
  <c r="K27" i="22"/>
  <c r="L27" i="22"/>
  <c r="F28" i="22"/>
  <c r="G28" i="22"/>
  <c r="H28" i="22"/>
  <c r="I28" i="22"/>
  <c r="J28" i="22"/>
  <c r="K28" i="22"/>
  <c r="L28" i="22"/>
  <c r="F29" i="22"/>
  <c r="G29" i="22"/>
  <c r="H29" i="22"/>
  <c r="I29" i="22"/>
  <c r="J29" i="22"/>
  <c r="K29" i="22"/>
  <c r="L29" i="22"/>
  <c r="F30" i="22"/>
  <c r="G30" i="22"/>
  <c r="H30" i="22"/>
  <c r="I30" i="22"/>
  <c r="J30" i="22"/>
  <c r="K30" i="22"/>
  <c r="L30" i="22"/>
  <c r="F31" i="22"/>
  <c r="G31" i="22"/>
  <c r="H31" i="22"/>
  <c r="I31" i="22"/>
  <c r="J31" i="22"/>
  <c r="K31" i="22"/>
  <c r="L31" i="22"/>
  <c r="F32" i="22"/>
  <c r="G32" i="22"/>
  <c r="H32" i="22"/>
  <c r="I32" i="22"/>
  <c r="J32" i="22"/>
  <c r="K32" i="22"/>
  <c r="L32" i="22"/>
  <c r="F33" i="22"/>
  <c r="G33" i="22"/>
  <c r="H33" i="22"/>
  <c r="I33" i="22"/>
  <c r="J33" i="22"/>
  <c r="K33" i="22"/>
  <c r="L33" i="22"/>
  <c r="F34" i="22"/>
  <c r="G34" i="22"/>
  <c r="H34" i="22"/>
  <c r="I34" i="22"/>
  <c r="J34" i="22"/>
  <c r="K34" i="22"/>
  <c r="L34" i="22"/>
  <c r="F35" i="22"/>
  <c r="G35" i="22"/>
  <c r="H35" i="22"/>
  <c r="I35" i="22"/>
  <c r="J35" i="22"/>
  <c r="K35" i="22"/>
  <c r="L35" i="22"/>
  <c r="F36" i="22"/>
  <c r="G36" i="22"/>
  <c r="H36" i="22"/>
  <c r="I36" i="22"/>
  <c r="J36" i="22"/>
  <c r="K36" i="22"/>
  <c r="L36" i="22"/>
  <c r="F37" i="22"/>
  <c r="G37" i="22"/>
  <c r="H37" i="22"/>
  <c r="I37" i="22"/>
  <c r="J37" i="22"/>
  <c r="K37" i="22"/>
  <c r="L37" i="22"/>
  <c r="G26" i="22"/>
  <c r="H26" i="22"/>
  <c r="I26" i="22"/>
  <c r="J26" i="22"/>
  <c r="K26" i="22"/>
  <c r="L26" i="22"/>
  <c r="F26" i="22"/>
  <c r="E27" i="22"/>
  <c r="E28" i="22"/>
  <c r="E29" i="22"/>
  <c r="E30" i="22"/>
  <c r="E31" i="22"/>
  <c r="E32" i="22"/>
  <c r="E33" i="22"/>
  <c r="E34" i="22"/>
  <c r="E35" i="22"/>
  <c r="E36" i="22"/>
  <c r="E37" i="22"/>
  <c r="E26" i="22"/>
  <c r="C27" i="22"/>
  <c r="D27" i="22"/>
  <c r="C28" i="22"/>
  <c r="D28" i="22"/>
  <c r="C29" i="22"/>
  <c r="D29" i="22"/>
  <c r="C30" i="22"/>
  <c r="D30" i="22"/>
  <c r="C31" i="22"/>
  <c r="D31" i="22"/>
  <c r="C32" i="22"/>
  <c r="D32" i="22"/>
  <c r="C33" i="22"/>
  <c r="D33" i="22"/>
  <c r="C34" i="22"/>
  <c r="D34" i="22"/>
  <c r="C35" i="22"/>
  <c r="D35" i="22"/>
  <c r="C36" i="22"/>
  <c r="D36" i="22"/>
  <c r="C37" i="22"/>
  <c r="D37" i="22"/>
  <c r="C26" i="22"/>
  <c r="D26" i="22"/>
  <c r="S8" i="4"/>
  <c r="R9" i="4"/>
  <c r="S9" i="4"/>
  <c r="Q12" i="22"/>
  <c r="J24" i="28"/>
  <c r="J19" i="28"/>
  <c r="R10" i="4"/>
  <c r="R11" i="4"/>
  <c r="R12" i="4"/>
  <c r="R13" i="4"/>
  <c r="R14" i="4"/>
  <c r="R15" i="4"/>
  <c r="R16" i="4"/>
  <c r="R17" i="4"/>
  <c r="R18" i="4"/>
  <c r="S18" i="4"/>
  <c r="J18" i="28"/>
  <c r="J15" i="28"/>
  <c r="J16" i="28"/>
  <c r="J22" i="28"/>
  <c r="J17" i="28"/>
  <c r="J12" i="28"/>
  <c r="J21" i="28"/>
  <c r="J20" i="28"/>
  <c r="T10" i="4"/>
  <c r="S14" i="4"/>
  <c r="S10" i="4"/>
  <c r="T13" i="4"/>
  <c r="T11" i="4"/>
  <c r="T16" i="4"/>
  <c r="S16" i="4"/>
  <c r="S12" i="4"/>
  <c r="S17" i="4"/>
  <c r="S13" i="4"/>
  <c r="S11" i="4"/>
  <c r="B14" i="26"/>
  <c r="C14" i="26"/>
  <c r="B13" i="26"/>
  <c r="M7" i="26"/>
  <c r="N7" i="26"/>
  <c r="M8" i="26"/>
  <c r="N8" i="26"/>
  <c r="N6" i="26"/>
  <c r="M6" i="26"/>
  <c r="J9" i="26"/>
  <c r="K9" i="26"/>
  <c r="I9" i="26"/>
  <c r="H9" i="26"/>
  <c r="G9" i="26"/>
  <c r="F9" i="26"/>
  <c r="J11" i="28"/>
  <c r="N6" i="28"/>
  <c r="N9" i="28"/>
  <c r="N19" i="28"/>
  <c r="B12" i="26"/>
  <c r="S15" i="4"/>
  <c r="T12" i="4"/>
  <c r="T15" i="4"/>
  <c r="T14" i="4"/>
  <c r="C13" i="26"/>
  <c r="K13" i="26"/>
  <c r="J14" i="26"/>
  <c r="F14" i="26"/>
  <c r="K14" i="26"/>
  <c r="I14" i="26"/>
  <c r="G14" i="26"/>
  <c r="H14" i="26"/>
  <c r="N9" i="26"/>
  <c r="M9" i="26"/>
  <c r="M8" i="25"/>
  <c r="M7" i="25"/>
  <c r="N15" i="25"/>
  <c r="AI15" i="25"/>
  <c r="O132" i="25"/>
  <c r="AJ132" i="25"/>
  <c r="O131" i="25"/>
  <c r="AJ131" i="25"/>
  <c r="O130" i="25"/>
  <c r="AJ130" i="25"/>
  <c r="O129" i="25"/>
  <c r="AJ129" i="25"/>
  <c r="O128" i="25"/>
  <c r="AJ128" i="25"/>
  <c r="O127" i="25"/>
  <c r="AJ127" i="25"/>
  <c r="O126" i="25"/>
  <c r="AJ126" i="25"/>
  <c r="O125" i="25"/>
  <c r="AJ125" i="25"/>
  <c r="O124" i="25"/>
  <c r="AJ124" i="25"/>
  <c r="O123" i="25"/>
  <c r="AJ123" i="25"/>
  <c r="O122" i="25"/>
  <c r="AJ122" i="25"/>
  <c r="O121" i="25"/>
  <c r="AJ121" i="25"/>
  <c r="O120" i="25"/>
  <c r="AJ120" i="25"/>
  <c r="O119" i="25"/>
  <c r="AJ119" i="25"/>
  <c r="O118" i="25"/>
  <c r="AJ118" i="25"/>
  <c r="O117" i="25"/>
  <c r="AJ117" i="25"/>
  <c r="O116" i="25"/>
  <c r="AJ116" i="25"/>
  <c r="O115" i="25"/>
  <c r="AJ115" i="25"/>
  <c r="O114" i="25"/>
  <c r="AJ114" i="25"/>
  <c r="O113" i="25"/>
  <c r="AJ113" i="25"/>
  <c r="O112" i="25"/>
  <c r="AJ112" i="25"/>
  <c r="O111" i="25"/>
  <c r="AJ111" i="25"/>
  <c r="O110" i="25"/>
  <c r="AJ110" i="25"/>
  <c r="O109" i="25"/>
  <c r="AJ109" i="25"/>
  <c r="O108" i="25"/>
  <c r="AJ108" i="25"/>
  <c r="O107" i="25"/>
  <c r="AJ107" i="25"/>
  <c r="O106" i="25"/>
  <c r="AJ106" i="25"/>
  <c r="O105" i="25"/>
  <c r="AJ105" i="25"/>
  <c r="O104" i="25"/>
  <c r="AJ104" i="25"/>
  <c r="O103" i="25"/>
  <c r="AJ103" i="25"/>
  <c r="O102" i="25"/>
  <c r="AJ102" i="25"/>
  <c r="O101" i="25"/>
  <c r="AJ101" i="25"/>
  <c r="O100" i="25"/>
  <c r="AJ100" i="25"/>
  <c r="O99" i="25"/>
  <c r="AJ99" i="25"/>
  <c r="O98" i="25"/>
  <c r="AJ98" i="25"/>
  <c r="O97" i="25"/>
  <c r="AJ97" i="25"/>
  <c r="O96" i="25"/>
  <c r="AJ96" i="25"/>
  <c r="O95" i="25"/>
  <c r="AJ95" i="25"/>
  <c r="O94" i="25"/>
  <c r="AJ94" i="25"/>
  <c r="O93" i="25"/>
  <c r="AJ93" i="25"/>
  <c r="O92" i="25"/>
  <c r="AJ92" i="25"/>
  <c r="O91" i="25"/>
  <c r="AJ91" i="25"/>
  <c r="O90" i="25"/>
  <c r="AJ90" i="25"/>
  <c r="O89" i="25"/>
  <c r="AJ89" i="25"/>
  <c r="O88" i="25"/>
  <c r="AJ88" i="25"/>
  <c r="O87" i="25"/>
  <c r="AJ87" i="25"/>
  <c r="O86" i="25"/>
  <c r="AJ86" i="25"/>
  <c r="O85" i="25"/>
  <c r="AJ85" i="25"/>
  <c r="O84" i="25"/>
  <c r="AJ84" i="25"/>
  <c r="O83" i="25"/>
  <c r="AJ83" i="25"/>
  <c r="O82" i="25"/>
  <c r="AJ82" i="25"/>
  <c r="O81" i="25"/>
  <c r="AJ81" i="25"/>
  <c r="O80" i="25"/>
  <c r="AJ80" i="25"/>
  <c r="O79" i="25"/>
  <c r="AJ79" i="25"/>
  <c r="O78" i="25"/>
  <c r="AJ78" i="25"/>
  <c r="O77" i="25"/>
  <c r="AJ77" i="25"/>
  <c r="O76" i="25"/>
  <c r="AJ76" i="25"/>
  <c r="O75" i="25"/>
  <c r="AJ75" i="25"/>
  <c r="O74" i="25"/>
  <c r="AJ74" i="25"/>
  <c r="O73" i="25"/>
  <c r="AJ73" i="25"/>
  <c r="O72" i="25"/>
  <c r="AJ72" i="25"/>
  <c r="O71" i="25"/>
  <c r="AJ71" i="25"/>
  <c r="O70" i="25"/>
  <c r="AJ70" i="25"/>
  <c r="O69" i="25"/>
  <c r="AJ69" i="25"/>
  <c r="O68" i="25"/>
  <c r="AJ68" i="25"/>
  <c r="O67" i="25"/>
  <c r="AJ67" i="25"/>
  <c r="O66" i="25"/>
  <c r="AJ66" i="25"/>
  <c r="O65" i="25"/>
  <c r="AJ65" i="25"/>
  <c r="O64" i="25"/>
  <c r="AJ64" i="25"/>
  <c r="O63" i="25"/>
  <c r="AJ63" i="25"/>
  <c r="O62" i="25"/>
  <c r="AJ62" i="25"/>
  <c r="O61" i="25"/>
  <c r="AJ61" i="25"/>
  <c r="O60" i="25"/>
  <c r="AJ60" i="25"/>
  <c r="O59" i="25"/>
  <c r="AJ59" i="25"/>
  <c r="O58" i="25"/>
  <c r="AJ58" i="25"/>
  <c r="O57" i="25"/>
  <c r="AJ57" i="25"/>
  <c r="O56" i="25"/>
  <c r="AJ56" i="25"/>
  <c r="O55" i="25"/>
  <c r="AJ55" i="25"/>
  <c r="O54" i="25"/>
  <c r="AJ54" i="25"/>
  <c r="O53" i="25"/>
  <c r="AJ53" i="25"/>
  <c r="O52" i="25"/>
  <c r="AJ52" i="25"/>
  <c r="O51" i="25"/>
  <c r="AJ51" i="25"/>
  <c r="O50" i="25"/>
  <c r="AJ50" i="25"/>
  <c r="O49" i="25"/>
  <c r="AJ49" i="25"/>
  <c r="O48" i="25"/>
  <c r="AJ48" i="25"/>
  <c r="O47" i="25"/>
  <c r="AJ47" i="25"/>
  <c r="O46" i="25"/>
  <c r="AJ46" i="25"/>
  <c r="O45" i="25"/>
  <c r="AJ45" i="25"/>
  <c r="O44" i="25"/>
  <c r="AJ44" i="25"/>
  <c r="O43" i="25"/>
  <c r="AJ43" i="25"/>
  <c r="O42" i="25"/>
  <c r="AJ42" i="25"/>
  <c r="O41" i="25"/>
  <c r="AJ41" i="25"/>
  <c r="O40" i="25"/>
  <c r="AJ40" i="25"/>
  <c r="O39" i="25"/>
  <c r="AJ39" i="25"/>
  <c r="O38" i="25"/>
  <c r="AJ38" i="25"/>
  <c r="O37" i="25"/>
  <c r="AJ37" i="25"/>
  <c r="O36" i="25"/>
  <c r="AJ36" i="25"/>
  <c r="O35" i="25"/>
  <c r="AJ35" i="25"/>
  <c r="O34" i="25"/>
  <c r="AJ34" i="25"/>
  <c r="O33" i="25"/>
  <c r="AJ33" i="25"/>
  <c r="O32" i="25"/>
  <c r="AJ32" i="25"/>
  <c r="O31" i="25"/>
  <c r="AJ31" i="25"/>
  <c r="O30" i="25"/>
  <c r="AJ30" i="25"/>
  <c r="O29" i="25"/>
  <c r="AJ29" i="25"/>
  <c r="O28" i="25"/>
  <c r="AJ28" i="25"/>
  <c r="O27" i="25"/>
  <c r="AJ27" i="25"/>
  <c r="O26" i="25"/>
  <c r="AJ26" i="25"/>
  <c r="O25" i="25"/>
  <c r="AJ25" i="25"/>
  <c r="O24" i="25"/>
  <c r="AJ24" i="25"/>
  <c r="O23" i="25"/>
  <c r="AJ23" i="25"/>
  <c r="O22" i="25"/>
  <c r="AJ22" i="25"/>
  <c r="O21" i="25"/>
  <c r="AJ21" i="25"/>
  <c r="O20" i="25"/>
  <c r="AJ20" i="25"/>
  <c r="O19" i="25"/>
  <c r="AJ19" i="25"/>
  <c r="O18" i="25"/>
  <c r="O17" i="25"/>
  <c r="AJ17" i="25"/>
  <c r="O16" i="25"/>
  <c r="AJ16" i="25"/>
  <c r="O15" i="25"/>
  <c r="B16" i="25"/>
  <c r="B17" i="25"/>
  <c r="N17" i="25"/>
  <c r="AI17" i="25"/>
  <c r="N39" i="25"/>
  <c r="N16" i="28"/>
  <c r="N17" i="28"/>
  <c r="N18" i="28"/>
  <c r="N22" i="28"/>
  <c r="N21" i="28"/>
  <c r="N15" i="28"/>
  <c r="N24" i="28"/>
  <c r="E8" i="28"/>
  <c r="E7" i="28"/>
  <c r="N20" i="28"/>
  <c r="N23" i="28"/>
  <c r="H13" i="26"/>
  <c r="J13" i="26"/>
  <c r="N63" i="25"/>
  <c r="AI39" i="25"/>
  <c r="C12" i="26"/>
  <c r="G12" i="26"/>
  <c r="I13" i="26"/>
  <c r="F13" i="26"/>
  <c r="O8" i="25"/>
  <c r="AJ18" i="25"/>
  <c r="G13" i="26"/>
  <c r="N13" i="26"/>
  <c r="O7" i="25"/>
  <c r="AJ15" i="25"/>
  <c r="Q10" i="25"/>
  <c r="Q12" i="25"/>
  <c r="Q32" i="25"/>
  <c r="N16" i="25"/>
  <c r="AI16" i="25"/>
  <c r="N14" i="26"/>
  <c r="M14" i="26"/>
  <c r="B18" i="26"/>
  <c r="I12" i="26"/>
  <c r="J12" i="26"/>
  <c r="F12" i="26"/>
  <c r="N41" i="25"/>
  <c r="B18" i="25"/>
  <c r="N18" i="25"/>
  <c r="AI18" i="25"/>
  <c r="N40" i="25"/>
  <c r="AI40" i="25"/>
  <c r="M13" i="26"/>
  <c r="K12" i="26"/>
  <c r="H12" i="26"/>
  <c r="M12" i="26"/>
  <c r="AJ13" i="25"/>
  <c r="AP18" i="25"/>
  <c r="N65" i="25"/>
  <c r="AI41" i="25"/>
  <c r="Q42" i="25"/>
  <c r="Q15" i="25"/>
  <c r="N87" i="25"/>
  <c r="AI63" i="25"/>
  <c r="Q86" i="25"/>
  <c r="N64" i="25"/>
  <c r="AI64" i="25"/>
  <c r="Q18" i="25"/>
  <c r="Q77" i="25"/>
  <c r="Q45" i="25"/>
  <c r="Q125" i="25"/>
  <c r="Q29" i="25"/>
  <c r="Q61" i="25"/>
  <c r="Q93" i="25"/>
  <c r="Q109" i="25"/>
  <c r="Q41" i="25"/>
  <c r="Q17" i="25"/>
  <c r="Q53" i="25"/>
  <c r="Q57" i="25"/>
  <c r="Q85" i="25"/>
  <c r="Q105" i="25"/>
  <c r="Q129" i="25"/>
  <c r="Q120" i="25"/>
  <c r="Q104" i="25"/>
  <c r="Q88" i="25"/>
  <c r="Q72" i="25"/>
  <c r="Q56" i="25"/>
  <c r="Q40" i="25"/>
  <c r="Q24" i="25"/>
  <c r="Q131" i="25"/>
  <c r="Q115" i="25"/>
  <c r="Q99" i="25"/>
  <c r="Q83" i="25"/>
  <c r="Q67" i="25"/>
  <c r="Q51" i="25"/>
  <c r="Q35" i="25"/>
  <c r="Q19" i="25"/>
  <c r="Q126" i="25"/>
  <c r="Q110" i="25"/>
  <c r="Q94" i="25"/>
  <c r="Q78" i="25"/>
  <c r="Q62" i="25"/>
  <c r="Q46" i="25"/>
  <c r="Q30" i="25"/>
  <c r="Q69" i="25"/>
  <c r="Q21" i="25"/>
  <c r="Q65" i="25"/>
  <c r="Q89" i="25"/>
  <c r="Q113" i="25"/>
  <c r="Q116" i="25"/>
  <c r="Q100" i="25"/>
  <c r="Q84" i="25"/>
  <c r="Q68" i="25"/>
  <c r="Q52" i="25"/>
  <c r="Q36" i="25"/>
  <c r="Q20" i="25"/>
  <c r="Q127" i="25"/>
  <c r="Q111" i="25"/>
  <c r="Q95" i="25"/>
  <c r="Q79" i="25"/>
  <c r="Q63" i="25"/>
  <c r="Q47" i="25"/>
  <c r="Q31" i="25"/>
  <c r="Q25" i="25"/>
  <c r="Q37" i="25"/>
  <c r="Q128" i="25"/>
  <c r="Q33" i="25"/>
  <c r="Q73" i="25"/>
  <c r="Q97" i="25"/>
  <c r="Q117" i="25"/>
  <c r="Q81" i="25"/>
  <c r="Q124" i="25"/>
  <c r="Q92" i="25"/>
  <c r="Q60" i="25"/>
  <c r="Q28" i="25"/>
  <c r="Q103" i="25"/>
  <c r="Q71" i="25"/>
  <c r="Q39" i="25"/>
  <c r="Q118" i="25"/>
  <c r="Q98" i="25"/>
  <c r="Q74" i="25"/>
  <c r="Q54" i="25"/>
  <c r="Q34" i="25"/>
  <c r="Q101" i="25"/>
  <c r="Q112" i="25"/>
  <c r="Q80" i="25"/>
  <c r="Q48" i="25"/>
  <c r="Q16" i="25"/>
  <c r="Q123" i="25"/>
  <c r="Q91" i="25"/>
  <c r="Q59" i="25"/>
  <c r="Q27" i="25"/>
  <c r="Q114" i="25"/>
  <c r="Q90" i="25"/>
  <c r="Q70" i="25"/>
  <c r="Q50" i="25"/>
  <c r="Q26" i="25"/>
  <c r="Q132" i="25"/>
  <c r="Q121" i="25"/>
  <c r="Q108" i="25"/>
  <c r="Q76" i="25"/>
  <c r="Q44" i="25"/>
  <c r="Q119" i="25"/>
  <c r="Q87" i="25"/>
  <c r="Q55" i="25"/>
  <c r="Q23" i="25"/>
  <c r="Q130" i="25"/>
  <c r="Q106" i="25"/>
  <c r="Q58" i="25"/>
  <c r="Q102" i="25"/>
  <c r="Q43" i="25"/>
  <c r="Q64" i="25"/>
  <c r="Q49" i="25"/>
  <c r="Q22" i="25"/>
  <c r="Q66" i="25"/>
  <c r="Q122" i="25"/>
  <c r="Q75" i="25"/>
  <c r="Q96" i="25"/>
  <c r="Q38" i="25"/>
  <c r="Q82" i="25"/>
  <c r="Q107" i="25"/>
  <c r="N12" i="26"/>
  <c r="B17" i="26"/>
  <c r="C18" i="26"/>
  <c r="N42" i="25"/>
  <c r="AI42" i="25"/>
  <c r="B19" i="25"/>
  <c r="N19" i="25"/>
  <c r="AI19" i="25"/>
  <c r="C17" i="26"/>
  <c r="J17" i="26"/>
  <c r="Q8" i="25"/>
  <c r="N111" i="25"/>
  <c r="AI111" i="25"/>
  <c r="AI87" i="25"/>
  <c r="N89" i="25"/>
  <c r="AI65" i="25"/>
  <c r="AP22" i="25"/>
  <c r="AP58" i="25"/>
  <c r="AP19" i="25"/>
  <c r="AP51" i="25"/>
  <c r="AP99" i="25"/>
  <c r="AP32" i="25"/>
  <c r="AP56" i="25"/>
  <c r="AP80" i="25"/>
  <c r="AP100" i="25"/>
  <c r="AP124" i="25"/>
  <c r="AP21" i="25"/>
  <c r="AP37" i="25"/>
  <c r="AP53" i="25"/>
  <c r="AP69" i="25"/>
  <c r="AP85" i="25"/>
  <c r="AP101" i="25"/>
  <c r="AP117" i="25"/>
  <c r="AP62" i="25"/>
  <c r="AP82" i="25"/>
  <c r="AP122" i="25"/>
  <c r="AP55" i="25"/>
  <c r="AP103" i="25"/>
  <c r="AP119" i="25"/>
  <c r="AP30" i="25"/>
  <c r="AP94" i="25"/>
  <c r="AP47" i="25"/>
  <c r="AP95" i="25"/>
  <c r="AP64" i="25"/>
  <c r="AP116" i="25"/>
  <c r="AP26" i="25"/>
  <c r="AP74" i="25"/>
  <c r="AP27" i="25"/>
  <c r="AP63" i="25"/>
  <c r="AP16" i="25"/>
  <c r="AP40" i="25"/>
  <c r="AP60" i="25"/>
  <c r="AP84" i="25"/>
  <c r="AP108" i="25"/>
  <c r="AP128" i="25"/>
  <c r="AP25" i="25"/>
  <c r="AP41" i="25"/>
  <c r="AP57" i="25"/>
  <c r="AP73" i="25"/>
  <c r="AP89" i="25"/>
  <c r="AP105" i="25"/>
  <c r="AP121" i="25"/>
  <c r="AP90" i="25"/>
  <c r="AP34" i="25"/>
  <c r="AP102" i="25"/>
  <c r="AP71" i="25"/>
  <c r="AP107" i="25"/>
  <c r="AP123" i="25"/>
  <c r="AP46" i="25"/>
  <c r="AP110" i="25"/>
  <c r="AP59" i="25"/>
  <c r="AP24" i="25"/>
  <c r="AP76" i="25"/>
  <c r="AP132" i="25"/>
  <c r="AP38" i="25"/>
  <c r="AP78" i="25"/>
  <c r="AP35" i="25"/>
  <c r="AP75" i="25"/>
  <c r="AP20" i="25"/>
  <c r="AP44" i="25"/>
  <c r="AP68" i="25"/>
  <c r="AP92" i="25"/>
  <c r="AP112" i="25"/>
  <c r="AP29" i="25"/>
  <c r="AP45" i="25"/>
  <c r="AP61" i="25"/>
  <c r="AP77" i="25"/>
  <c r="AP93" i="25"/>
  <c r="AP109" i="25"/>
  <c r="AP125" i="25"/>
  <c r="AP130" i="25"/>
  <c r="AP54" i="25"/>
  <c r="AP106" i="25"/>
  <c r="AP23" i="25"/>
  <c r="AP83" i="25"/>
  <c r="AP111" i="25"/>
  <c r="AP127" i="25"/>
  <c r="AP70" i="25"/>
  <c r="AP118" i="25"/>
  <c r="AP67" i="25"/>
  <c r="AP36" i="25"/>
  <c r="AP88" i="25"/>
  <c r="AP50" i="25"/>
  <c r="AP98" i="25"/>
  <c r="AP43" i="25"/>
  <c r="AP87" i="25"/>
  <c r="AP28" i="25"/>
  <c r="AP52" i="25"/>
  <c r="AP72" i="25"/>
  <c r="AP96" i="25"/>
  <c r="AP120" i="25"/>
  <c r="AP17" i="25"/>
  <c r="AP33" i="25"/>
  <c r="AP49" i="25"/>
  <c r="AP65" i="25"/>
  <c r="AP81" i="25"/>
  <c r="AP97" i="25"/>
  <c r="AP113" i="25"/>
  <c r="AP129" i="25"/>
  <c r="AP42" i="25"/>
  <c r="AP66" i="25"/>
  <c r="AP114" i="25"/>
  <c r="AP39" i="25"/>
  <c r="AP91" i="25"/>
  <c r="AP115" i="25"/>
  <c r="AP131" i="25"/>
  <c r="AP86" i="25"/>
  <c r="AP126" i="25"/>
  <c r="AP31" i="25"/>
  <c r="AP79" i="25"/>
  <c r="AP48" i="25"/>
  <c r="AP104" i="25"/>
  <c r="Q7" i="25"/>
  <c r="AP15" i="25"/>
  <c r="F17" i="26"/>
  <c r="I17" i="26"/>
  <c r="K17" i="26"/>
  <c r="N66" i="25"/>
  <c r="AI66" i="25"/>
  <c r="G17" i="26"/>
  <c r="K18" i="26"/>
  <c r="G18" i="26"/>
  <c r="I18" i="26"/>
  <c r="J18" i="26"/>
  <c r="F18" i="26"/>
  <c r="H18" i="26"/>
  <c r="N88" i="25"/>
  <c r="AI88" i="25"/>
  <c r="N43" i="25"/>
  <c r="AI43" i="25"/>
  <c r="B20" i="25"/>
  <c r="N20" i="25"/>
  <c r="AI20" i="25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7" i="12"/>
  <c r="I6" i="12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8" i="23"/>
  <c r="L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L28" i="23"/>
  <c r="L29" i="23"/>
  <c r="L30" i="23"/>
  <c r="L31" i="23"/>
  <c r="L32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L45" i="23"/>
  <c r="L46" i="23"/>
  <c r="L47" i="23"/>
  <c r="L48" i="23"/>
  <c r="C7" i="23"/>
  <c r="C8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C103" i="23"/>
  <c r="C104" i="23"/>
  <c r="C105" i="23"/>
  <c r="C10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B103" i="23"/>
  <c r="B104" i="23"/>
  <c r="B105" i="23"/>
  <c r="B106" i="23"/>
  <c r="R65" i="22"/>
  <c r="D66" i="22"/>
  <c r="E66" i="22"/>
  <c r="F66" i="22"/>
  <c r="G66" i="22"/>
  <c r="H66" i="22"/>
  <c r="I66" i="22"/>
  <c r="J66" i="22"/>
  <c r="K66" i="22"/>
  <c r="L66" i="22"/>
  <c r="D67" i="22"/>
  <c r="E67" i="22"/>
  <c r="F67" i="22"/>
  <c r="G67" i="22"/>
  <c r="H67" i="22"/>
  <c r="I67" i="22"/>
  <c r="J67" i="22"/>
  <c r="K67" i="22"/>
  <c r="L67" i="22"/>
  <c r="D68" i="22"/>
  <c r="E68" i="22"/>
  <c r="F68" i="22"/>
  <c r="G68" i="22"/>
  <c r="H68" i="22"/>
  <c r="I68" i="22"/>
  <c r="J68" i="22"/>
  <c r="K68" i="22"/>
  <c r="L68" i="22"/>
  <c r="D69" i="22"/>
  <c r="E69" i="22"/>
  <c r="F69" i="22"/>
  <c r="G69" i="22"/>
  <c r="H69" i="22"/>
  <c r="I69" i="22"/>
  <c r="J69" i="22"/>
  <c r="K69" i="22"/>
  <c r="L69" i="22"/>
  <c r="D70" i="22"/>
  <c r="E70" i="22"/>
  <c r="F70" i="22"/>
  <c r="G70" i="22"/>
  <c r="H70" i="22"/>
  <c r="I70" i="22"/>
  <c r="J70" i="22"/>
  <c r="K70" i="22"/>
  <c r="L70" i="22"/>
  <c r="D71" i="22"/>
  <c r="E71" i="22"/>
  <c r="F71" i="22"/>
  <c r="G71" i="22"/>
  <c r="H71" i="22"/>
  <c r="I71" i="22"/>
  <c r="J71" i="22"/>
  <c r="K71" i="22"/>
  <c r="L71" i="22"/>
  <c r="D72" i="22"/>
  <c r="E72" i="22"/>
  <c r="F72" i="22"/>
  <c r="G72" i="22"/>
  <c r="H72" i="22"/>
  <c r="I72" i="22"/>
  <c r="J72" i="22"/>
  <c r="K72" i="22"/>
  <c r="L72" i="22"/>
  <c r="D73" i="22"/>
  <c r="E73" i="22"/>
  <c r="F73" i="22"/>
  <c r="G73" i="22"/>
  <c r="H73" i="22"/>
  <c r="I73" i="22"/>
  <c r="J73" i="22"/>
  <c r="K73" i="22"/>
  <c r="L73" i="22"/>
  <c r="D74" i="22"/>
  <c r="E74" i="22"/>
  <c r="F74" i="22"/>
  <c r="G74" i="22"/>
  <c r="H74" i="22"/>
  <c r="I74" i="22"/>
  <c r="J74" i="22"/>
  <c r="K74" i="22"/>
  <c r="L74" i="22"/>
  <c r="D75" i="22"/>
  <c r="E75" i="22"/>
  <c r="F75" i="22"/>
  <c r="G75" i="22"/>
  <c r="H75" i="22"/>
  <c r="I75" i="22"/>
  <c r="J75" i="22"/>
  <c r="K75" i="22"/>
  <c r="L75" i="22"/>
  <c r="D76" i="22"/>
  <c r="E76" i="22"/>
  <c r="F76" i="22"/>
  <c r="G76" i="22"/>
  <c r="H76" i="22"/>
  <c r="I76" i="22"/>
  <c r="J76" i="22"/>
  <c r="K76" i="22"/>
  <c r="L76" i="22"/>
  <c r="D77" i="22"/>
  <c r="E77" i="22"/>
  <c r="F77" i="22"/>
  <c r="G77" i="22"/>
  <c r="H77" i="22"/>
  <c r="I77" i="22"/>
  <c r="J77" i="22"/>
  <c r="K77" i="22"/>
  <c r="L77" i="22"/>
  <c r="C67" i="22"/>
  <c r="C68" i="22"/>
  <c r="C69" i="22"/>
  <c r="C70" i="22"/>
  <c r="C71" i="22"/>
  <c r="C72" i="22"/>
  <c r="C73" i="22"/>
  <c r="C74" i="22"/>
  <c r="C75" i="22"/>
  <c r="C76" i="22"/>
  <c r="C77" i="22"/>
  <c r="C66" i="22"/>
  <c r="C64" i="22"/>
  <c r="D64" i="22"/>
  <c r="S65" i="22"/>
  <c r="E64" i="22"/>
  <c r="F64" i="22"/>
  <c r="U65" i="22"/>
  <c r="G64" i="22"/>
  <c r="V65" i="22"/>
  <c r="H64" i="22"/>
  <c r="W65" i="22"/>
  <c r="I64" i="22"/>
  <c r="X65" i="22"/>
  <c r="J64" i="22"/>
  <c r="Y65" i="22"/>
  <c r="K64" i="22"/>
  <c r="Z65" i="22"/>
  <c r="L64" i="22"/>
  <c r="AA65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64" i="22"/>
  <c r="L45" i="22"/>
  <c r="M45" i="22"/>
  <c r="L46" i="22"/>
  <c r="M46" i="22"/>
  <c r="L47" i="22"/>
  <c r="M47" i="22"/>
  <c r="L48" i="22"/>
  <c r="M48" i="22"/>
  <c r="L49" i="22"/>
  <c r="M49" i="22"/>
  <c r="L50" i="22"/>
  <c r="M50" i="22"/>
  <c r="L51" i="22"/>
  <c r="M51" i="22"/>
  <c r="L52" i="22"/>
  <c r="M52" i="22"/>
  <c r="L53" i="22"/>
  <c r="M53" i="22"/>
  <c r="L54" i="22"/>
  <c r="M54" i="22"/>
  <c r="L55" i="22"/>
  <c r="M55" i="22"/>
  <c r="M44" i="22"/>
  <c r="L44" i="22"/>
  <c r="L39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43" i="22"/>
  <c r="M42" i="22"/>
  <c r="L42" i="22"/>
  <c r="K42" i="22"/>
  <c r="Q19" i="22"/>
  <c r="R21" i="22"/>
  <c r="U36" i="22"/>
  <c r="Y36" i="22"/>
  <c r="Q21" i="22"/>
  <c r="T28" i="22"/>
  <c r="H17" i="26"/>
  <c r="AP13" i="25"/>
  <c r="N113" i="25"/>
  <c r="AI113" i="25"/>
  <c r="AI89" i="25"/>
  <c r="R67" i="22"/>
  <c r="M17" i="26"/>
  <c r="N90" i="25"/>
  <c r="AI90" i="25"/>
  <c r="M18" i="26"/>
  <c r="N18" i="26"/>
  <c r="B21" i="26"/>
  <c r="N112" i="25"/>
  <c r="AI112" i="25"/>
  <c r="N17" i="26"/>
  <c r="N67" i="25"/>
  <c r="AI67" i="25"/>
  <c r="Y73" i="22"/>
  <c r="X75" i="22"/>
  <c r="AA75" i="22"/>
  <c r="W75" i="22"/>
  <c r="Z74" i="22"/>
  <c r="V74" i="22"/>
  <c r="Z75" i="22"/>
  <c r="V75" i="22"/>
  <c r="X72" i="22"/>
  <c r="X73" i="22"/>
  <c r="Y74" i="22"/>
  <c r="Y75" i="22"/>
  <c r="V70" i="22"/>
  <c r="W72" i="22"/>
  <c r="W73" i="22"/>
  <c r="X74" i="22"/>
  <c r="W71" i="22"/>
  <c r="V72" i="22"/>
  <c r="V73" i="22"/>
  <c r="W74" i="22"/>
  <c r="U74" i="22"/>
  <c r="V71" i="22"/>
  <c r="U71" i="22"/>
  <c r="U72" i="22"/>
  <c r="U70" i="22"/>
  <c r="U73" i="22"/>
  <c r="U75" i="22"/>
  <c r="U69" i="22"/>
  <c r="T74" i="22"/>
  <c r="T68" i="22"/>
  <c r="T73" i="22"/>
  <c r="T70" i="22"/>
  <c r="T71" i="22"/>
  <c r="T69" i="22"/>
  <c r="T72" i="22"/>
  <c r="T75" i="22"/>
  <c r="S74" i="22"/>
  <c r="R66" i="22"/>
  <c r="R74" i="22"/>
  <c r="R69" i="22"/>
  <c r="R73" i="22"/>
  <c r="R70" i="22"/>
  <c r="R72" i="22"/>
  <c r="R68" i="22"/>
  <c r="R75" i="22"/>
  <c r="R71" i="22"/>
  <c r="S67" i="22"/>
  <c r="S72" i="22"/>
  <c r="S68" i="22"/>
  <c r="S69" i="22"/>
  <c r="S70" i="22"/>
  <c r="S75" i="22"/>
  <c r="S71" i="22"/>
  <c r="S73" i="22"/>
  <c r="B21" i="25"/>
  <c r="N21" i="25"/>
  <c r="AI21" i="25"/>
  <c r="N44" i="25"/>
  <c r="AI44" i="25"/>
  <c r="X28" i="22"/>
  <c r="U28" i="22"/>
  <c r="Y28" i="22"/>
  <c r="U29" i="22"/>
  <c r="Y29" i="22"/>
  <c r="U33" i="22"/>
  <c r="Y33" i="22"/>
  <c r="U37" i="22"/>
  <c r="Y37" i="22"/>
  <c r="U26" i="22"/>
  <c r="Y26" i="22"/>
  <c r="U30" i="22"/>
  <c r="Y30" i="22"/>
  <c r="U34" i="22"/>
  <c r="Y34" i="22"/>
  <c r="U27" i="22"/>
  <c r="Y27" i="22"/>
  <c r="U31" i="22"/>
  <c r="Y31" i="22"/>
  <c r="U35" i="22"/>
  <c r="Y35" i="22"/>
  <c r="U32" i="22"/>
  <c r="Y32" i="22"/>
  <c r="T35" i="22"/>
  <c r="T31" i="22"/>
  <c r="T27" i="22"/>
  <c r="T26" i="22"/>
  <c r="T34" i="22"/>
  <c r="T30" i="22"/>
  <c r="T37" i="22"/>
  <c r="T33" i="22"/>
  <c r="T29" i="22"/>
  <c r="T36" i="22"/>
  <c r="T32" i="22"/>
  <c r="Y7" i="21"/>
  <c r="Z7" i="21"/>
  <c r="X7" i="21"/>
  <c r="X8" i="21"/>
  <c r="W8" i="21"/>
  <c r="AH11" i="21"/>
  <c r="S11" i="21"/>
  <c r="AI11" i="21"/>
  <c r="T11" i="21"/>
  <c r="AH12" i="21"/>
  <c r="S12" i="21"/>
  <c r="AI12" i="21"/>
  <c r="T12" i="21"/>
  <c r="AH13" i="21"/>
  <c r="S13" i="21"/>
  <c r="AI13" i="21"/>
  <c r="T13" i="21"/>
  <c r="AH14" i="21"/>
  <c r="S14" i="21"/>
  <c r="AI14" i="21"/>
  <c r="T14" i="21"/>
  <c r="AH15" i="21"/>
  <c r="S15" i="21"/>
  <c r="AI15" i="21"/>
  <c r="T15" i="21"/>
  <c r="AH16" i="21"/>
  <c r="S16" i="21"/>
  <c r="AI16" i="21"/>
  <c r="T16" i="21"/>
  <c r="AH17" i="21"/>
  <c r="S17" i="21"/>
  <c r="AI17" i="21"/>
  <c r="T17" i="21"/>
  <c r="AH18" i="21"/>
  <c r="S18" i="21"/>
  <c r="AI18" i="21"/>
  <c r="T18" i="21"/>
  <c r="AH19" i="21"/>
  <c r="S19" i="21"/>
  <c r="AI19" i="21"/>
  <c r="T19" i="21"/>
  <c r="AH20" i="21"/>
  <c r="S20" i="21"/>
  <c r="AI20" i="21"/>
  <c r="T20" i="21"/>
  <c r="AH21" i="21"/>
  <c r="S21" i="21"/>
  <c r="AI21" i="21"/>
  <c r="T21" i="21"/>
  <c r="AH22" i="21"/>
  <c r="S22" i="21"/>
  <c r="AI22" i="21"/>
  <c r="T22" i="21"/>
  <c r="AH23" i="21"/>
  <c r="S23" i="21"/>
  <c r="AI23" i="21"/>
  <c r="T23" i="21"/>
  <c r="AH24" i="21"/>
  <c r="S24" i="21"/>
  <c r="AI24" i="21"/>
  <c r="T24" i="21"/>
  <c r="AH25" i="21"/>
  <c r="S25" i="21"/>
  <c r="AI25" i="21"/>
  <c r="T25" i="21"/>
  <c r="AH26" i="21"/>
  <c r="S26" i="21"/>
  <c r="AI26" i="21"/>
  <c r="T26" i="21"/>
  <c r="AH27" i="21"/>
  <c r="S27" i="21"/>
  <c r="AI27" i="21"/>
  <c r="T27" i="21"/>
  <c r="AH28" i="21"/>
  <c r="S28" i="21"/>
  <c r="AI28" i="21"/>
  <c r="T28" i="21"/>
  <c r="AH29" i="21"/>
  <c r="S29" i="21"/>
  <c r="AI29" i="21"/>
  <c r="T29" i="21"/>
  <c r="AH30" i="21"/>
  <c r="S30" i="21"/>
  <c r="AI30" i="21"/>
  <c r="T30" i="21"/>
  <c r="AH31" i="21"/>
  <c r="S31" i="21"/>
  <c r="AI31" i="21"/>
  <c r="T31" i="21"/>
  <c r="AH32" i="21"/>
  <c r="S32" i="21"/>
  <c r="AI32" i="21"/>
  <c r="T32" i="21"/>
  <c r="AH33" i="21"/>
  <c r="S33" i="21"/>
  <c r="AI33" i="21"/>
  <c r="T33" i="21"/>
  <c r="AH34" i="21"/>
  <c r="S34" i="21"/>
  <c r="AI34" i="21"/>
  <c r="T34" i="21"/>
  <c r="AH35" i="21"/>
  <c r="S35" i="21"/>
  <c r="AI35" i="21"/>
  <c r="T35" i="21"/>
  <c r="AH36" i="21"/>
  <c r="S36" i="21"/>
  <c r="AI36" i="21"/>
  <c r="T36" i="21"/>
  <c r="AH37" i="21"/>
  <c r="S37" i="21"/>
  <c r="AI37" i="21"/>
  <c r="T37" i="21"/>
  <c r="AH38" i="21"/>
  <c r="S38" i="21"/>
  <c r="AI38" i="21"/>
  <c r="T38" i="21"/>
  <c r="AH39" i="21"/>
  <c r="S39" i="21"/>
  <c r="AI39" i="21"/>
  <c r="T39" i="21"/>
  <c r="AH40" i="21"/>
  <c r="S40" i="21"/>
  <c r="AI40" i="21"/>
  <c r="T40" i="21"/>
  <c r="AH41" i="21"/>
  <c r="S41" i="21"/>
  <c r="AI41" i="21"/>
  <c r="T41" i="21"/>
  <c r="AH42" i="21"/>
  <c r="S42" i="21"/>
  <c r="AI42" i="21"/>
  <c r="T42" i="21"/>
  <c r="AH43" i="21"/>
  <c r="S43" i="21"/>
  <c r="AI43" i="21"/>
  <c r="T43" i="21"/>
  <c r="AH44" i="21"/>
  <c r="S44" i="21"/>
  <c r="AI44" i="21"/>
  <c r="T44" i="21"/>
  <c r="AH45" i="21"/>
  <c r="S45" i="21"/>
  <c r="AI45" i="21"/>
  <c r="T45" i="21"/>
  <c r="AH46" i="21"/>
  <c r="S46" i="21"/>
  <c r="AI46" i="21"/>
  <c r="T46" i="21"/>
  <c r="AH47" i="21"/>
  <c r="S47" i="21"/>
  <c r="AI47" i="21"/>
  <c r="T47" i="21"/>
  <c r="AH48" i="21"/>
  <c r="S48" i="21"/>
  <c r="AI48" i="21"/>
  <c r="T48" i="21"/>
  <c r="AH49" i="21"/>
  <c r="S49" i="21"/>
  <c r="AI49" i="21"/>
  <c r="T49" i="21"/>
  <c r="AH50" i="21"/>
  <c r="S50" i="21"/>
  <c r="AI50" i="21"/>
  <c r="T50" i="21"/>
  <c r="AH51" i="21"/>
  <c r="S51" i="21"/>
  <c r="AI51" i="21"/>
  <c r="T51" i="21"/>
  <c r="AH52" i="21"/>
  <c r="S52" i="21"/>
  <c r="AI52" i="21"/>
  <c r="T52" i="21"/>
  <c r="AH53" i="21"/>
  <c r="S53" i="21"/>
  <c r="AI53" i="21"/>
  <c r="T53" i="21"/>
  <c r="AH54" i="21"/>
  <c r="S54" i="21"/>
  <c r="AI54" i="21"/>
  <c r="T54" i="21"/>
  <c r="AH55" i="21"/>
  <c r="S55" i="21"/>
  <c r="AI55" i="21"/>
  <c r="T55" i="21"/>
  <c r="AH56" i="21"/>
  <c r="S56" i="21"/>
  <c r="AI56" i="21"/>
  <c r="T56" i="21"/>
  <c r="AH57" i="21"/>
  <c r="S57" i="21"/>
  <c r="AI57" i="21"/>
  <c r="T57" i="21"/>
  <c r="AH58" i="21"/>
  <c r="S58" i="21"/>
  <c r="AI58" i="21"/>
  <c r="T58" i="21"/>
  <c r="AH59" i="21"/>
  <c r="S59" i="21"/>
  <c r="AI59" i="21"/>
  <c r="T59" i="21"/>
  <c r="AH60" i="21"/>
  <c r="S60" i="21"/>
  <c r="AI60" i="21"/>
  <c r="T60" i="21"/>
  <c r="AH61" i="21"/>
  <c r="S61" i="21"/>
  <c r="AI61" i="21"/>
  <c r="T61" i="21"/>
  <c r="AH62" i="21"/>
  <c r="S62" i="21"/>
  <c r="AI62" i="21"/>
  <c r="T62" i="21"/>
  <c r="AH63" i="21"/>
  <c r="S63" i="21"/>
  <c r="AI63" i="21"/>
  <c r="T63" i="21"/>
  <c r="AH64" i="21"/>
  <c r="S64" i="21"/>
  <c r="AI64" i="21"/>
  <c r="T64" i="21"/>
  <c r="AH65" i="21"/>
  <c r="S65" i="21"/>
  <c r="AI65" i="21"/>
  <c r="T65" i="21"/>
  <c r="AH66" i="21"/>
  <c r="S66" i="21"/>
  <c r="AI66" i="21"/>
  <c r="T66" i="21"/>
  <c r="AH67" i="21"/>
  <c r="S67" i="21"/>
  <c r="AI67" i="21"/>
  <c r="T67" i="21"/>
  <c r="AH68" i="21"/>
  <c r="S68" i="21"/>
  <c r="AI68" i="21"/>
  <c r="T68" i="21"/>
  <c r="AH69" i="21"/>
  <c r="S69" i="21"/>
  <c r="AI69" i="21"/>
  <c r="T69" i="21"/>
  <c r="AH70" i="21"/>
  <c r="S70" i="21"/>
  <c r="AI70" i="21"/>
  <c r="T70" i="21"/>
  <c r="AH71" i="21"/>
  <c r="S71" i="21"/>
  <c r="AI71" i="21"/>
  <c r="T71" i="21"/>
  <c r="AH72" i="21"/>
  <c r="S72" i="21"/>
  <c r="AI72" i="21"/>
  <c r="T72" i="21"/>
  <c r="AH73" i="21"/>
  <c r="S73" i="21"/>
  <c r="AI73" i="21"/>
  <c r="T73" i="21"/>
  <c r="AH74" i="21"/>
  <c r="S74" i="21"/>
  <c r="AI74" i="21"/>
  <c r="T74" i="21"/>
  <c r="AH75" i="21"/>
  <c r="S75" i="21"/>
  <c r="AI75" i="21"/>
  <c r="T75" i="21"/>
  <c r="AH76" i="21"/>
  <c r="S76" i="21"/>
  <c r="AI76" i="21"/>
  <c r="T76" i="21"/>
  <c r="AH77" i="21"/>
  <c r="S77" i="21"/>
  <c r="AI77" i="21"/>
  <c r="T77" i="21"/>
  <c r="AH78" i="21"/>
  <c r="S78" i="21"/>
  <c r="AI78" i="21"/>
  <c r="T78" i="21"/>
  <c r="AH79" i="21"/>
  <c r="S79" i="21"/>
  <c r="AI79" i="21"/>
  <c r="T79" i="21"/>
  <c r="AH80" i="21"/>
  <c r="S80" i="21"/>
  <c r="AI80" i="21"/>
  <c r="T80" i="21"/>
  <c r="AH81" i="21"/>
  <c r="S81" i="21"/>
  <c r="AI81" i="21"/>
  <c r="T81" i="21"/>
  <c r="AH82" i="21"/>
  <c r="S82" i="21"/>
  <c r="AI82" i="21"/>
  <c r="T82" i="21"/>
  <c r="AH83" i="21"/>
  <c r="S83" i="21"/>
  <c r="AI83" i="21"/>
  <c r="T83" i="21"/>
  <c r="AH84" i="21"/>
  <c r="S84" i="21"/>
  <c r="AI84" i="21"/>
  <c r="T84" i="21"/>
  <c r="AH85" i="21"/>
  <c r="S85" i="21"/>
  <c r="AI85" i="21"/>
  <c r="T85" i="21"/>
  <c r="AH86" i="21"/>
  <c r="S86" i="21"/>
  <c r="AI86" i="21"/>
  <c r="T86" i="21"/>
  <c r="AH87" i="21"/>
  <c r="S87" i="21"/>
  <c r="AI87" i="21"/>
  <c r="T87" i="21"/>
  <c r="AH88" i="21"/>
  <c r="S88" i="21"/>
  <c r="AI88" i="21"/>
  <c r="T88" i="21"/>
  <c r="AH89" i="21"/>
  <c r="S89" i="21"/>
  <c r="AI89" i="21"/>
  <c r="T89" i="21"/>
  <c r="AH90" i="21"/>
  <c r="S90" i="21"/>
  <c r="AI90" i="21"/>
  <c r="T90" i="21"/>
  <c r="AH91" i="21"/>
  <c r="S91" i="21"/>
  <c r="AI91" i="21"/>
  <c r="T91" i="21"/>
  <c r="AH92" i="21"/>
  <c r="S92" i="21"/>
  <c r="AI92" i="21"/>
  <c r="T92" i="21"/>
  <c r="AH93" i="21"/>
  <c r="S93" i="21"/>
  <c r="AI93" i="21"/>
  <c r="T93" i="21"/>
  <c r="AH94" i="21"/>
  <c r="S94" i="21"/>
  <c r="AI94" i="21"/>
  <c r="T94" i="21"/>
  <c r="AH95" i="21"/>
  <c r="S95" i="21"/>
  <c r="AI95" i="21"/>
  <c r="T95" i="21"/>
  <c r="AH96" i="21"/>
  <c r="S96" i="21"/>
  <c r="AI96" i="21"/>
  <c r="T96" i="21"/>
  <c r="AH97" i="21"/>
  <c r="S97" i="21"/>
  <c r="AI97" i="21"/>
  <c r="T97" i="21"/>
  <c r="AH98" i="21"/>
  <c r="S98" i="21"/>
  <c r="AI98" i="21"/>
  <c r="T98" i="21"/>
  <c r="AH99" i="21"/>
  <c r="S99" i="21"/>
  <c r="AI99" i="21"/>
  <c r="T99" i="21"/>
  <c r="AH100" i="21"/>
  <c r="S100" i="21"/>
  <c r="AI100" i="21"/>
  <c r="T100" i="21"/>
  <c r="AH101" i="21"/>
  <c r="S101" i="21"/>
  <c r="AI101" i="21"/>
  <c r="T101" i="21"/>
  <c r="AH102" i="21"/>
  <c r="S102" i="21"/>
  <c r="AI102" i="21"/>
  <c r="T102" i="21"/>
  <c r="AH103" i="21"/>
  <c r="S103" i="21"/>
  <c r="AI103" i="21"/>
  <c r="T103" i="21"/>
  <c r="AH104" i="21"/>
  <c r="S104" i="21"/>
  <c r="AI104" i="21"/>
  <c r="T104" i="21"/>
  <c r="AH105" i="21"/>
  <c r="S105" i="21"/>
  <c r="AI105" i="21"/>
  <c r="T105" i="21"/>
  <c r="AH106" i="21"/>
  <c r="S106" i="21"/>
  <c r="AI106" i="21"/>
  <c r="T106" i="21"/>
  <c r="AH107" i="21"/>
  <c r="S107" i="21"/>
  <c r="AI107" i="21"/>
  <c r="T107" i="21"/>
  <c r="AH108" i="21"/>
  <c r="S108" i="21"/>
  <c r="AI108" i="21"/>
  <c r="T108" i="21"/>
  <c r="AH109" i="21"/>
  <c r="S109" i="21"/>
  <c r="AI109" i="21"/>
  <c r="T109" i="21"/>
  <c r="AH110" i="21"/>
  <c r="S110" i="21"/>
  <c r="AI110" i="21"/>
  <c r="T110" i="21"/>
  <c r="AH111" i="21"/>
  <c r="S111" i="21"/>
  <c r="AI111" i="21"/>
  <c r="T111" i="21"/>
  <c r="AH112" i="21"/>
  <c r="S112" i="21"/>
  <c r="AI112" i="21"/>
  <c r="T112" i="21"/>
  <c r="AH113" i="21"/>
  <c r="S113" i="21"/>
  <c r="AI113" i="21"/>
  <c r="T113" i="21"/>
  <c r="AH114" i="21"/>
  <c r="S114" i="21"/>
  <c r="AI114" i="21"/>
  <c r="T114" i="21"/>
  <c r="AH115" i="21"/>
  <c r="S115" i="21"/>
  <c r="AI115" i="21"/>
  <c r="T115" i="21"/>
  <c r="AH116" i="21"/>
  <c r="S116" i="21"/>
  <c r="AI116" i="21"/>
  <c r="T116" i="21"/>
  <c r="AH117" i="21"/>
  <c r="S117" i="21"/>
  <c r="AI117" i="21"/>
  <c r="T117" i="21"/>
  <c r="AH118" i="21"/>
  <c r="S118" i="21"/>
  <c r="AI118" i="21"/>
  <c r="T118" i="21"/>
  <c r="AH119" i="21"/>
  <c r="S119" i="21"/>
  <c r="AI119" i="21"/>
  <c r="T119" i="21"/>
  <c r="AH120" i="21"/>
  <c r="S120" i="21"/>
  <c r="AI120" i="21"/>
  <c r="T120" i="21"/>
  <c r="AH121" i="21"/>
  <c r="S121" i="21"/>
  <c r="AI121" i="21"/>
  <c r="T121" i="21"/>
  <c r="AH122" i="21"/>
  <c r="S122" i="21"/>
  <c r="AI122" i="21"/>
  <c r="T122" i="21"/>
  <c r="AH123" i="21"/>
  <c r="S123" i="21"/>
  <c r="AI123" i="21"/>
  <c r="T123" i="21"/>
  <c r="AH124" i="21"/>
  <c r="S124" i="21"/>
  <c r="AI124" i="21"/>
  <c r="T124" i="21"/>
  <c r="AH125" i="21"/>
  <c r="S125" i="21"/>
  <c r="AI125" i="21"/>
  <c r="T125" i="21"/>
  <c r="AH126" i="21"/>
  <c r="S126" i="21"/>
  <c r="AI126" i="21"/>
  <c r="T126" i="21"/>
  <c r="AH127" i="21"/>
  <c r="S127" i="21"/>
  <c r="AI127" i="21"/>
  <c r="T127" i="21"/>
  <c r="AH128" i="21"/>
  <c r="S128" i="21"/>
  <c r="AI128" i="21"/>
  <c r="T128" i="21"/>
  <c r="AH129" i="21"/>
  <c r="S129" i="21"/>
  <c r="AI129" i="21"/>
  <c r="T129" i="21"/>
  <c r="AH130" i="21"/>
  <c r="S130" i="21"/>
  <c r="AI130" i="21"/>
  <c r="T130" i="21"/>
  <c r="AH131" i="21"/>
  <c r="S131" i="21"/>
  <c r="AI131" i="21"/>
  <c r="T131" i="21"/>
  <c r="AH132" i="21"/>
  <c r="S132" i="21"/>
  <c r="AI132" i="21"/>
  <c r="T132" i="21"/>
  <c r="AH133" i="21"/>
  <c r="S133" i="21"/>
  <c r="AI133" i="21"/>
  <c r="T133" i="21"/>
  <c r="AH134" i="21"/>
  <c r="S134" i="21"/>
  <c r="AI134" i="21"/>
  <c r="T134" i="21"/>
  <c r="AH135" i="21"/>
  <c r="S135" i="21"/>
  <c r="AI135" i="21"/>
  <c r="T135" i="21"/>
  <c r="AH136" i="21"/>
  <c r="S136" i="21"/>
  <c r="AI136" i="21"/>
  <c r="T136" i="21"/>
  <c r="AH137" i="21"/>
  <c r="S137" i="21"/>
  <c r="AI137" i="21"/>
  <c r="T137" i="21"/>
  <c r="AH138" i="21"/>
  <c r="S138" i="21"/>
  <c r="AI138" i="21"/>
  <c r="T138" i="21"/>
  <c r="AH139" i="21"/>
  <c r="S139" i="21"/>
  <c r="AI139" i="21"/>
  <c r="T139" i="21"/>
  <c r="AH140" i="21"/>
  <c r="S140" i="21"/>
  <c r="AI140" i="21"/>
  <c r="T140" i="21"/>
  <c r="AH141" i="21"/>
  <c r="S141" i="21"/>
  <c r="AI141" i="21"/>
  <c r="T141" i="21"/>
  <c r="AH142" i="21"/>
  <c r="S142" i="21"/>
  <c r="AI142" i="21"/>
  <c r="T142" i="21"/>
  <c r="AH143" i="21"/>
  <c r="S143" i="21"/>
  <c r="AI143" i="21"/>
  <c r="T143" i="21"/>
  <c r="AH144" i="21"/>
  <c r="S144" i="21"/>
  <c r="AI144" i="21"/>
  <c r="T144" i="21"/>
  <c r="AH145" i="21"/>
  <c r="S145" i="21"/>
  <c r="AI145" i="21"/>
  <c r="T145" i="21"/>
  <c r="AH146" i="21"/>
  <c r="S146" i="21"/>
  <c r="AI146" i="21"/>
  <c r="T146" i="21"/>
  <c r="AH147" i="21"/>
  <c r="S147" i="21"/>
  <c r="AI147" i="21"/>
  <c r="T147" i="21"/>
  <c r="AH148" i="21"/>
  <c r="S148" i="21"/>
  <c r="AI148" i="21"/>
  <c r="T148" i="21"/>
  <c r="AH149" i="21"/>
  <c r="S149" i="21"/>
  <c r="AI149" i="21"/>
  <c r="T149" i="21"/>
  <c r="AH150" i="21"/>
  <c r="S150" i="21"/>
  <c r="AI150" i="21"/>
  <c r="T150" i="21"/>
  <c r="AH151" i="21"/>
  <c r="S151" i="21"/>
  <c r="AI151" i="21"/>
  <c r="T151" i="21"/>
  <c r="AH152" i="21"/>
  <c r="S152" i="21"/>
  <c r="AI152" i="21"/>
  <c r="T152" i="21"/>
  <c r="AH153" i="21"/>
  <c r="S153" i="21"/>
  <c r="AI153" i="21"/>
  <c r="T153" i="21"/>
  <c r="AH154" i="21"/>
  <c r="S154" i="21"/>
  <c r="AI154" i="21"/>
  <c r="T154" i="21"/>
  <c r="AH155" i="21"/>
  <c r="S155" i="21"/>
  <c r="AI155" i="21"/>
  <c r="T155" i="21"/>
  <c r="AH156" i="21"/>
  <c r="S156" i="21"/>
  <c r="AI156" i="21"/>
  <c r="T156" i="21"/>
  <c r="AH157" i="21"/>
  <c r="S157" i="21"/>
  <c r="AI157" i="21"/>
  <c r="T157" i="21"/>
  <c r="AH158" i="21"/>
  <c r="S158" i="21"/>
  <c r="AI158" i="21"/>
  <c r="T158" i="21"/>
  <c r="AH159" i="21"/>
  <c r="S159" i="21"/>
  <c r="AI159" i="21"/>
  <c r="T159" i="21"/>
  <c r="AH160" i="21"/>
  <c r="S160" i="21"/>
  <c r="AI160" i="21"/>
  <c r="T160" i="21"/>
  <c r="AH161" i="21"/>
  <c r="S161" i="21"/>
  <c r="AI161" i="21"/>
  <c r="T161" i="21"/>
  <c r="AH162" i="21"/>
  <c r="S162" i="21"/>
  <c r="AI162" i="21"/>
  <c r="T162" i="21"/>
  <c r="AH163" i="21"/>
  <c r="S163" i="21"/>
  <c r="AI163" i="21"/>
  <c r="T163" i="21"/>
  <c r="AH164" i="21"/>
  <c r="S164" i="21"/>
  <c r="AI164" i="21"/>
  <c r="T164" i="21"/>
  <c r="AH165" i="21"/>
  <c r="S165" i="21"/>
  <c r="AI165" i="21"/>
  <c r="T165" i="21"/>
  <c r="AH166" i="21"/>
  <c r="S166" i="21"/>
  <c r="AI166" i="21"/>
  <c r="T166" i="21"/>
  <c r="AH167" i="21"/>
  <c r="S167" i="21"/>
  <c r="AI167" i="21"/>
  <c r="T167" i="21"/>
  <c r="AH168" i="21"/>
  <c r="S168" i="21"/>
  <c r="AI168" i="21"/>
  <c r="T168" i="21"/>
  <c r="AH169" i="21"/>
  <c r="S169" i="21"/>
  <c r="AI169" i="21"/>
  <c r="T169" i="21"/>
  <c r="AH170" i="21"/>
  <c r="S170" i="21"/>
  <c r="AI170" i="21"/>
  <c r="T170" i="21"/>
  <c r="AH171" i="21"/>
  <c r="S171" i="21"/>
  <c r="AI171" i="21"/>
  <c r="T171" i="21"/>
  <c r="AH172" i="21"/>
  <c r="S172" i="21"/>
  <c r="AI172" i="21"/>
  <c r="T172" i="21"/>
  <c r="AH173" i="21"/>
  <c r="S173" i="21"/>
  <c r="AI173" i="21"/>
  <c r="T173" i="21"/>
  <c r="AH174" i="21"/>
  <c r="S174" i="21"/>
  <c r="AI174" i="21"/>
  <c r="T174" i="21"/>
  <c r="AH175" i="21"/>
  <c r="S175" i="21"/>
  <c r="AI175" i="21"/>
  <c r="T175" i="21"/>
  <c r="AH176" i="21"/>
  <c r="S176" i="21"/>
  <c r="AI176" i="21"/>
  <c r="T176" i="21"/>
  <c r="AH177" i="21"/>
  <c r="S177" i="21"/>
  <c r="AI177" i="21"/>
  <c r="T177" i="21"/>
  <c r="AH178" i="21"/>
  <c r="S178" i="21"/>
  <c r="AI178" i="21"/>
  <c r="T178" i="21"/>
  <c r="AH179" i="21"/>
  <c r="S179" i="21"/>
  <c r="AI179" i="21"/>
  <c r="T179" i="21"/>
  <c r="AH180" i="21"/>
  <c r="S180" i="21"/>
  <c r="AI180" i="21"/>
  <c r="T180" i="21"/>
  <c r="AH181" i="21"/>
  <c r="S181" i="21"/>
  <c r="AI181" i="21"/>
  <c r="T181" i="21"/>
  <c r="AH182" i="21"/>
  <c r="S182" i="21"/>
  <c r="AI182" i="21"/>
  <c r="T182" i="21"/>
  <c r="AH183" i="21"/>
  <c r="S183" i="21"/>
  <c r="AI183" i="21"/>
  <c r="T183" i="21"/>
  <c r="AH184" i="21"/>
  <c r="S184" i="21"/>
  <c r="AI184" i="21"/>
  <c r="T184" i="21"/>
  <c r="AH185" i="21"/>
  <c r="S185" i="21"/>
  <c r="AI185" i="21"/>
  <c r="T185" i="21"/>
  <c r="AH186" i="21"/>
  <c r="S186" i="21"/>
  <c r="AI186" i="21"/>
  <c r="T186" i="21"/>
  <c r="AH187" i="21"/>
  <c r="S187" i="21"/>
  <c r="AI187" i="21"/>
  <c r="T187" i="21"/>
  <c r="AH188" i="21"/>
  <c r="S188" i="21"/>
  <c r="AI188" i="21"/>
  <c r="T188" i="21"/>
  <c r="AH189" i="21"/>
  <c r="S189" i="21"/>
  <c r="AI189" i="21"/>
  <c r="T189" i="21"/>
  <c r="AH190" i="21"/>
  <c r="S190" i="21"/>
  <c r="AI190" i="21"/>
  <c r="T190" i="21"/>
  <c r="AH191" i="21"/>
  <c r="S191" i="21"/>
  <c r="AI191" i="21"/>
  <c r="T191" i="21"/>
  <c r="AH192" i="21"/>
  <c r="S192" i="21"/>
  <c r="AI192" i="21"/>
  <c r="T192" i="21"/>
  <c r="AH193" i="21"/>
  <c r="S193" i="21"/>
  <c r="AI193" i="21"/>
  <c r="T193" i="21"/>
  <c r="AH194" i="21"/>
  <c r="S194" i="21"/>
  <c r="AI194" i="21"/>
  <c r="T194" i="21"/>
  <c r="AH195" i="21"/>
  <c r="S195" i="21"/>
  <c r="AI195" i="21"/>
  <c r="T195" i="21"/>
  <c r="AH196" i="21"/>
  <c r="S196" i="21"/>
  <c r="AI196" i="21"/>
  <c r="T196" i="21"/>
  <c r="AH197" i="21"/>
  <c r="S197" i="21"/>
  <c r="AI197" i="21"/>
  <c r="T197" i="21"/>
  <c r="AH198" i="21"/>
  <c r="S198" i="21"/>
  <c r="AI198" i="21"/>
  <c r="T198" i="21"/>
  <c r="AH199" i="21"/>
  <c r="S199" i="21"/>
  <c r="AI199" i="21"/>
  <c r="T199" i="21"/>
  <c r="AH200" i="21"/>
  <c r="S200" i="21"/>
  <c r="AI200" i="21"/>
  <c r="T200" i="21"/>
  <c r="AH201" i="21"/>
  <c r="S201" i="21"/>
  <c r="AI201" i="21"/>
  <c r="T201" i="21"/>
  <c r="AH202" i="21"/>
  <c r="S202" i="21"/>
  <c r="AI202" i="21"/>
  <c r="T202" i="21"/>
  <c r="AH203" i="21"/>
  <c r="S203" i="21"/>
  <c r="AI203" i="21"/>
  <c r="T203" i="21"/>
  <c r="AH204" i="21"/>
  <c r="S204" i="21"/>
  <c r="AI204" i="21"/>
  <c r="T204" i="21"/>
  <c r="AH205" i="21"/>
  <c r="S205" i="21"/>
  <c r="AI205" i="21"/>
  <c r="T205" i="21"/>
  <c r="AH206" i="21"/>
  <c r="S206" i="21"/>
  <c r="AI206" i="21"/>
  <c r="T206" i="21"/>
  <c r="AH207" i="21"/>
  <c r="S207" i="21"/>
  <c r="AI207" i="21"/>
  <c r="T207" i="21"/>
  <c r="AH208" i="21"/>
  <c r="S208" i="21"/>
  <c r="AI208" i="21"/>
  <c r="T208" i="21"/>
  <c r="AH209" i="21"/>
  <c r="S209" i="21"/>
  <c r="AI209" i="21"/>
  <c r="T209" i="21"/>
  <c r="AH210" i="21"/>
  <c r="S210" i="21"/>
  <c r="AI210" i="21"/>
  <c r="T210" i="21"/>
  <c r="AI10" i="21"/>
  <c r="T10" i="21"/>
  <c r="AH10" i="21"/>
  <c r="S10" i="21"/>
  <c r="X191" i="21"/>
  <c r="X195" i="21"/>
  <c r="X199" i="21"/>
  <c r="W208" i="21"/>
  <c r="W204" i="21"/>
  <c r="W192" i="21"/>
  <c r="W188" i="21"/>
  <c r="W209" i="21"/>
  <c r="X209" i="21"/>
  <c r="W203" i="21"/>
  <c r="W197" i="21"/>
  <c r="X197" i="21"/>
  <c r="W193" i="21"/>
  <c r="X193" i="21"/>
  <c r="W187" i="21"/>
  <c r="W183" i="21"/>
  <c r="W177" i="21"/>
  <c r="X177" i="21"/>
  <c r="W171" i="21"/>
  <c r="X171" i="21"/>
  <c r="W165" i="21"/>
  <c r="X165" i="21"/>
  <c r="W163" i="21"/>
  <c r="X163" i="21"/>
  <c r="X157" i="21"/>
  <c r="W157" i="21"/>
  <c r="W151" i="21"/>
  <c r="X151" i="21"/>
  <c r="X145" i="21"/>
  <c r="W145" i="21"/>
  <c r="W139" i="21"/>
  <c r="X139" i="21"/>
  <c r="X137" i="21"/>
  <c r="W137" i="21"/>
  <c r="W131" i="21"/>
  <c r="X131" i="21"/>
  <c r="X125" i="21"/>
  <c r="W125" i="21"/>
  <c r="W119" i="21"/>
  <c r="X119" i="21"/>
  <c r="X117" i="21"/>
  <c r="W117" i="21"/>
  <c r="W111" i="21"/>
  <c r="X111" i="21"/>
  <c r="X109" i="21"/>
  <c r="W109" i="21"/>
  <c r="W103" i="21"/>
  <c r="X103" i="21"/>
  <c r="X97" i="21"/>
  <c r="W97" i="21"/>
  <c r="W91" i="21"/>
  <c r="X91" i="21"/>
  <c r="X89" i="21"/>
  <c r="W89" i="21"/>
  <c r="W83" i="21"/>
  <c r="X83" i="21"/>
  <c r="X77" i="21"/>
  <c r="W77" i="21"/>
  <c r="W75" i="21"/>
  <c r="X75" i="21"/>
  <c r="X69" i="21"/>
  <c r="W69" i="21"/>
  <c r="W67" i="21"/>
  <c r="X67" i="21"/>
  <c r="X65" i="21"/>
  <c r="W65" i="21"/>
  <c r="W63" i="21"/>
  <c r="X63" i="21"/>
  <c r="X57" i="21"/>
  <c r="W57" i="21"/>
  <c r="X55" i="21"/>
  <c r="W55" i="21"/>
  <c r="W53" i="21"/>
  <c r="X53" i="21"/>
  <c r="W51" i="21"/>
  <c r="X51" i="21"/>
  <c r="X49" i="21"/>
  <c r="W49" i="21"/>
  <c r="X47" i="21"/>
  <c r="W47" i="21"/>
  <c r="X45" i="21"/>
  <c r="W45" i="21"/>
  <c r="W43" i="21"/>
  <c r="X43" i="21"/>
  <c r="X41" i="21"/>
  <c r="W41" i="21"/>
  <c r="W39" i="21"/>
  <c r="X39" i="21"/>
  <c r="X37" i="21"/>
  <c r="W37" i="21"/>
  <c r="W35" i="21"/>
  <c r="X35" i="21"/>
  <c r="W33" i="21"/>
  <c r="X33" i="21"/>
  <c r="W31" i="21"/>
  <c r="X31" i="21"/>
  <c r="W29" i="21"/>
  <c r="X29" i="21"/>
  <c r="W27" i="21"/>
  <c r="X27" i="21"/>
  <c r="W25" i="21"/>
  <c r="X25" i="21"/>
  <c r="W23" i="21"/>
  <c r="X23" i="21"/>
  <c r="W21" i="21"/>
  <c r="X21" i="21"/>
  <c r="W19" i="21"/>
  <c r="X19" i="21"/>
  <c r="W17" i="21"/>
  <c r="X17" i="21"/>
  <c r="W15" i="21"/>
  <c r="X15" i="21"/>
  <c r="W13" i="21"/>
  <c r="X13" i="21"/>
  <c r="W11" i="21"/>
  <c r="X11" i="21"/>
  <c r="X183" i="21"/>
  <c r="W207" i="21"/>
  <c r="W201" i="21"/>
  <c r="X201" i="21"/>
  <c r="W195" i="21"/>
  <c r="W189" i="21"/>
  <c r="X189" i="21"/>
  <c r="W181" i="21"/>
  <c r="X181" i="21"/>
  <c r="W175" i="21"/>
  <c r="X175" i="21"/>
  <c r="X169" i="21"/>
  <c r="W169" i="21"/>
  <c r="X161" i="21"/>
  <c r="W161" i="21"/>
  <c r="X153" i="21"/>
  <c r="W153" i="21"/>
  <c r="X149" i="21"/>
  <c r="W149" i="21"/>
  <c r="X143" i="21"/>
  <c r="W143" i="21"/>
  <c r="X133" i="21"/>
  <c r="W133" i="21"/>
  <c r="X127" i="21"/>
  <c r="W127" i="21"/>
  <c r="X121" i="21"/>
  <c r="W121" i="21"/>
  <c r="X115" i="21"/>
  <c r="W115" i="21"/>
  <c r="W107" i="21"/>
  <c r="X107" i="21"/>
  <c r="X101" i="21"/>
  <c r="W101" i="21"/>
  <c r="X95" i="21"/>
  <c r="W95" i="21"/>
  <c r="X87" i="21"/>
  <c r="W87" i="21"/>
  <c r="X81" i="21"/>
  <c r="W81" i="21"/>
  <c r="X73" i="21"/>
  <c r="W73" i="21"/>
  <c r="W59" i="21"/>
  <c r="X59" i="21"/>
  <c r="W210" i="21"/>
  <c r="X210" i="21"/>
  <c r="X208" i="21"/>
  <c r="W206" i="21"/>
  <c r="X206" i="21"/>
  <c r="X204" i="21"/>
  <c r="W202" i="21"/>
  <c r="X202" i="21"/>
  <c r="X200" i="21"/>
  <c r="W198" i="21"/>
  <c r="X198" i="21"/>
  <c r="X196" i="21"/>
  <c r="W194" i="21"/>
  <c r="X194" i="21"/>
  <c r="X192" i="21"/>
  <c r="W190" i="21"/>
  <c r="X190" i="21"/>
  <c r="X188" i="21"/>
  <c r="W186" i="21"/>
  <c r="X186" i="21"/>
  <c r="X184" i="21"/>
  <c r="W182" i="21"/>
  <c r="X182" i="21"/>
  <c r="X180" i="21"/>
  <c r="W180" i="21"/>
  <c r="W178" i="21"/>
  <c r="X178" i="21"/>
  <c r="W176" i="21"/>
  <c r="X176" i="21"/>
  <c r="X174" i="21"/>
  <c r="W174" i="21"/>
  <c r="W172" i="21"/>
  <c r="X172" i="21"/>
  <c r="X170" i="21"/>
  <c r="W170" i="21"/>
  <c r="W168" i="21"/>
  <c r="X168" i="21"/>
  <c r="X166" i="21"/>
  <c r="W166" i="21"/>
  <c r="W164" i="21"/>
  <c r="X164" i="21"/>
  <c r="X162" i="21"/>
  <c r="W162" i="21"/>
  <c r="X160" i="21"/>
  <c r="W160" i="21"/>
  <c r="W158" i="21"/>
  <c r="X158" i="21"/>
  <c r="X156" i="21"/>
  <c r="W156" i="21"/>
  <c r="W154" i="21"/>
  <c r="X154" i="21"/>
  <c r="W152" i="21"/>
  <c r="X152" i="21"/>
  <c r="W150" i="21"/>
  <c r="X150" i="21"/>
  <c r="W148" i="21"/>
  <c r="X148" i="21"/>
  <c r="W146" i="21"/>
  <c r="X146" i="21"/>
  <c r="W144" i="21"/>
  <c r="X144" i="21"/>
  <c r="W142" i="21"/>
  <c r="X142" i="21"/>
  <c r="X140" i="21"/>
  <c r="W140" i="21"/>
  <c r="W138" i="21"/>
  <c r="X138" i="21"/>
  <c r="W136" i="21"/>
  <c r="X136" i="21"/>
  <c r="W134" i="21"/>
  <c r="X134" i="21"/>
  <c r="W132" i="21"/>
  <c r="X132" i="21"/>
  <c r="W130" i="21"/>
  <c r="X130" i="21"/>
  <c r="X128" i="21"/>
  <c r="W128" i="21"/>
  <c r="W126" i="21"/>
  <c r="X126" i="21"/>
  <c r="X124" i="21"/>
  <c r="W124" i="21"/>
  <c r="W122" i="21"/>
  <c r="X122" i="21"/>
  <c r="W120" i="21"/>
  <c r="X120" i="21"/>
  <c r="W118" i="21"/>
  <c r="X118" i="21"/>
  <c r="W116" i="21"/>
  <c r="X116" i="21"/>
  <c r="W114" i="21"/>
  <c r="X114" i="21"/>
  <c r="X112" i="21"/>
  <c r="W112" i="21"/>
  <c r="W110" i="21"/>
  <c r="X110" i="21"/>
  <c r="X108" i="21"/>
  <c r="W108" i="21"/>
  <c r="W106" i="21"/>
  <c r="X106" i="21"/>
  <c r="W104" i="21"/>
  <c r="X104" i="21"/>
  <c r="W102" i="21"/>
  <c r="X102" i="21"/>
  <c r="W100" i="21"/>
  <c r="X100" i="21"/>
  <c r="W98" i="21"/>
  <c r="X98" i="21"/>
  <c r="W96" i="21"/>
  <c r="X96" i="21"/>
  <c r="W94" i="21"/>
  <c r="X94" i="21"/>
  <c r="X92" i="21"/>
  <c r="W92" i="21"/>
  <c r="W90" i="21"/>
  <c r="X90" i="21"/>
  <c r="W88" i="21"/>
  <c r="X88" i="21"/>
  <c r="W86" i="21"/>
  <c r="X86" i="21"/>
  <c r="X84" i="21"/>
  <c r="W84" i="21"/>
  <c r="W82" i="21"/>
  <c r="X82" i="21"/>
  <c r="W80" i="21"/>
  <c r="X80" i="21"/>
  <c r="W78" i="21"/>
  <c r="X78" i="21"/>
  <c r="W76" i="21"/>
  <c r="X76" i="21"/>
  <c r="W74" i="21"/>
  <c r="X74" i="21"/>
  <c r="W72" i="21"/>
  <c r="X72" i="21"/>
  <c r="W70" i="21"/>
  <c r="X70" i="21"/>
  <c r="X68" i="21"/>
  <c r="W68" i="21"/>
  <c r="W66" i="21"/>
  <c r="X66" i="21"/>
  <c r="W64" i="21"/>
  <c r="X64" i="21"/>
  <c r="W62" i="21"/>
  <c r="X62" i="21"/>
  <c r="W60" i="21"/>
  <c r="X60" i="21"/>
  <c r="W58" i="21"/>
  <c r="X58" i="21"/>
  <c r="W56" i="21"/>
  <c r="X56" i="21"/>
  <c r="W54" i="21"/>
  <c r="X54" i="21"/>
  <c r="X52" i="21"/>
  <c r="W52" i="21"/>
  <c r="W50" i="21"/>
  <c r="X50" i="21"/>
  <c r="W48" i="21"/>
  <c r="X48" i="21"/>
  <c r="W46" i="21"/>
  <c r="X46" i="21"/>
  <c r="W44" i="21"/>
  <c r="X44" i="21"/>
  <c r="W42" i="21"/>
  <c r="X42" i="21"/>
  <c r="W40" i="21"/>
  <c r="X40" i="21"/>
  <c r="W38" i="21"/>
  <c r="X38" i="21"/>
  <c r="X36" i="21"/>
  <c r="W36" i="21"/>
  <c r="W34" i="21"/>
  <c r="X34" i="21"/>
  <c r="X32" i="21"/>
  <c r="W32" i="21"/>
  <c r="W30" i="21"/>
  <c r="X30" i="21"/>
  <c r="X28" i="21"/>
  <c r="W28" i="21"/>
  <c r="W26" i="21"/>
  <c r="X26" i="21"/>
  <c r="X24" i="21"/>
  <c r="W24" i="21"/>
  <c r="W22" i="21"/>
  <c r="X22" i="21"/>
  <c r="X20" i="21"/>
  <c r="W20" i="21"/>
  <c r="W18" i="21"/>
  <c r="X18" i="21"/>
  <c r="X16" i="21"/>
  <c r="W16" i="21"/>
  <c r="W14" i="21"/>
  <c r="X14" i="21"/>
  <c r="X12" i="21"/>
  <c r="W12" i="21"/>
  <c r="X207" i="21"/>
  <c r="W200" i="21"/>
  <c r="W184" i="21"/>
  <c r="W205" i="21"/>
  <c r="X205" i="21"/>
  <c r="W199" i="21"/>
  <c r="W191" i="21"/>
  <c r="W185" i="21"/>
  <c r="X185" i="21"/>
  <c r="W179" i="21"/>
  <c r="X179" i="21"/>
  <c r="W173" i="21"/>
  <c r="X173" i="21"/>
  <c r="W167" i="21"/>
  <c r="X167" i="21"/>
  <c r="X159" i="21"/>
  <c r="W159" i="21"/>
  <c r="W155" i="21"/>
  <c r="X155" i="21"/>
  <c r="X147" i="21"/>
  <c r="W147" i="21"/>
  <c r="X141" i="21"/>
  <c r="W141" i="21"/>
  <c r="W135" i="21"/>
  <c r="X135" i="21"/>
  <c r="X129" i="21"/>
  <c r="W129" i="21"/>
  <c r="W123" i="21"/>
  <c r="X123" i="21"/>
  <c r="X113" i="21"/>
  <c r="W113" i="21"/>
  <c r="X105" i="21"/>
  <c r="W105" i="21"/>
  <c r="W99" i="21"/>
  <c r="X99" i="21"/>
  <c r="X93" i="21"/>
  <c r="W93" i="21"/>
  <c r="X85" i="21"/>
  <c r="W85" i="21"/>
  <c r="W79" i="21"/>
  <c r="X79" i="21"/>
  <c r="X71" i="21"/>
  <c r="W71" i="21"/>
  <c r="X61" i="21"/>
  <c r="W61" i="21"/>
  <c r="X10" i="21"/>
  <c r="W10" i="21"/>
  <c r="X203" i="21"/>
  <c r="W196" i="21"/>
  <c r="X187" i="21"/>
  <c r="N68" i="25"/>
  <c r="AI68" i="25"/>
  <c r="C21" i="26"/>
  <c r="N114" i="25"/>
  <c r="AI114" i="25"/>
  <c r="N91" i="25"/>
  <c r="AI91" i="25"/>
  <c r="N45" i="25"/>
  <c r="AI45" i="25"/>
  <c r="B22" i="25"/>
  <c r="N22" i="25"/>
  <c r="AI22" i="25"/>
  <c r="W32" i="22"/>
  <c r="X32" i="22"/>
  <c r="W37" i="22"/>
  <c r="X37" i="22"/>
  <c r="W27" i="22"/>
  <c r="X27" i="22"/>
  <c r="W36" i="22"/>
  <c r="X36" i="22"/>
  <c r="X30" i="22"/>
  <c r="W30" i="22"/>
  <c r="W31" i="22"/>
  <c r="X31" i="22"/>
  <c r="Y20" i="22"/>
  <c r="R18" i="22"/>
  <c r="W29" i="22"/>
  <c r="X29" i="22"/>
  <c r="X34" i="22"/>
  <c r="W34" i="22"/>
  <c r="W35" i="22"/>
  <c r="X35" i="22"/>
  <c r="W33" i="22"/>
  <c r="X33" i="22"/>
  <c r="W26" i="22"/>
  <c r="X26" i="22"/>
  <c r="W28" i="22"/>
  <c r="Z8" i="21"/>
  <c r="Z64" i="21"/>
  <c r="AA7" i="21"/>
  <c r="Y8" i="21"/>
  <c r="Y202" i="21"/>
  <c r="T3" i="21"/>
  <c r="V3" i="21"/>
  <c r="T4" i="21"/>
  <c r="V4" i="21"/>
  <c r="S3" i="21"/>
  <c r="AF3" i="21"/>
  <c r="S4" i="21"/>
  <c r="AF4" i="21"/>
  <c r="DW4" i="20"/>
  <c r="DV4" i="20"/>
  <c r="DW3" i="20"/>
  <c r="DL3" i="20"/>
  <c r="CM9" i="20"/>
  <c r="CM10" i="20"/>
  <c r="CN8" i="20"/>
  <c r="CC9" i="20"/>
  <c r="CC10" i="20"/>
  <c r="CC11" i="20"/>
  <c r="CC12" i="20"/>
  <c r="CC13" i="20"/>
  <c r="CC14" i="20"/>
  <c r="CC15" i="20"/>
  <c r="CC16" i="20"/>
  <c r="CC17" i="20"/>
  <c r="CC18" i="20"/>
  <c r="CC19" i="20"/>
  <c r="CC20" i="20"/>
  <c r="CC21" i="20"/>
  <c r="CC22" i="20"/>
  <c r="CC8" i="20"/>
  <c r="BR4" i="20"/>
  <c r="R30" i="20"/>
  <c r="R10" i="20"/>
  <c r="R9" i="20"/>
  <c r="Q30" i="20"/>
  <c r="Q11" i="20"/>
  <c r="R11" i="20"/>
  <c r="V10" i="20"/>
  <c r="V9" i="20"/>
  <c r="U30" i="20"/>
  <c r="U31" i="20"/>
  <c r="U32" i="20"/>
  <c r="U33" i="20"/>
  <c r="U34" i="20"/>
  <c r="U35" i="20"/>
  <c r="U36" i="20"/>
  <c r="U37" i="20"/>
  <c r="U38" i="20"/>
  <c r="U39" i="20"/>
  <c r="U40" i="20"/>
  <c r="U41" i="20"/>
  <c r="U42" i="20"/>
  <c r="U43" i="20"/>
  <c r="U44" i="20"/>
  <c r="U45" i="20"/>
  <c r="U46" i="20"/>
  <c r="U47" i="20"/>
  <c r="U48" i="20"/>
  <c r="U49" i="20"/>
  <c r="V49" i="20"/>
  <c r="U11" i="20"/>
  <c r="U12" i="20"/>
  <c r="V12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N24" i="20"/>
  <c r="N25" i="20"/>
  <c r="N26" i="20"/>
  <c r="N27" i="20"/>
  <c r="N28" i="20"/>
  <c r="N9" i="20"/>
  <c r="M30" i="20"/>
  <c r="M31" i="20"/>
  <c r="M32" i="20"/>
  <c r="M11" i="20"/>
  <c r="M12" i="20"/>
  <c r="M13" i="20"/>
  <c r="J30" i="20"/>
  <c r="J10" i="20"/>
  <c r="J9" i="20"/>
  <c r="I30" i="20"/>
  <c r="I31" i="20"/>
  <c r="I11" i="20"/>
  <c r="F10" i="20"/>
  <c r="F9" i="20"/>
  <c r="E30" i="20"/>
  <c r="E31" i="20"/>
  <c r="F31" i="20"/>
  <c r="E11" i="20"/>
  <c r="F11" i="20"/>
  <c r="C9" i="20"/>
  <c r="C10" i="20"/>
  <c r="C29" i="20"/>
  <c r="C8" i="20"/>
  <c r="B30" i="20"/>
  <c r="B31" i="20"/>
  <c r="C31" i="20"/>
  <c r="B11" i="20"/>
  <c r="AY18" i="20"/>
  <c r="AY22" i="20"/>
  <c r="AY19" i="20"/>
  <c r="AY20" i="20"/>
  <c r="AY21" i="20"/>
  <c r="AY17" i="20"/>
  <c r="AX16" i="20"/>
  <c r="AY16" i="20"/>
  <c r="AY11" i="20"/>
  <c r="AY12" i="20"/>
  <c r="AY13" i="20"/>
  <c r="AY14" i="20"/>
  <c r="AY15" i="20"/>
  <c r="AY10" i="20"/>
  <c r="AY9" i="20"/>
  <c r="AV10" i="20"/>
  <c r="AV11" i="20"/>
  <c r="AV12" i="20"/>
  <c r="AV13" i="20"/>
  <c r="AV14" i="20"/>
  <c r="AV15" i="20"/>
  <c r="AV16" i="20"/>
  <c r="AV17" i="20"/>
  <c r="AV18" i="20"/>
  <c r="AV19" i="20"/>
  <c r="AV9" i="20"/>
  <c r="AS30" i="20"/>
  <c r="AR31" i="20"/>
  <c r="AR32" i="20"/>
  <c r="AP29" i="20"/>
  <c r="AO30" i="20"/>
  <c r="AO31" i="20"/>
  <c r="AO11" i="20"/>
  <c r="AP11" i="20"/>
  <c r="AP10" i="20"/>
  <c r="AP9" i="20"/>
  <c r="AP8" i="20"/>
  <c r="AP30" i="20"/>
  <c r="Y194" i="21"/>
  <c r="Y185" i="21"/>
  <c r="Y191" i="21"/>
  <c r="Y16" i="21"/>
  <c r="Y38" i="21"/>
  <c r="Y60" i="21"/>
  <c r="Y84" i="21"/>
  <c r="Y146" i="21"/>
  <c r="Y166" i="21"/>
  <c r="Y87" i="21"/>
  <c r="Y57" i="21"/>
  <c r="Y79" i="21"/>
  <c r="Y167" i="21"/>
  <c r="Y24" i="21"/>
  <c r="Y66" i="21"/>
  <c r="Y92" i="21"/>
  <c r="Y148" i="21"/>
  <c r="Y174" i="21"/>
  <c r="Y111" i="21"/>
  <c r="F30" i="20"/>
  <c r="Y99" i="21"/>
  <c r="Y32" i="21"/>
  <c r="Y42" i="21"/>
  <c r="Y44" i="21"/>
  <c r="Y68" i="21"/>
  <c r="Y108" i="21"/>
  <c r="Y109" i="21"/>
  <c r="Y171" i="21"/>
  <c r="Z56" i="21"/>
  <c r="Y76" i="21"/>
  <c r="Y126" i="21"/>
  <c r="Y150" i="21"/>
  <c r="Y200" i="21"/>
  <c r="Y73" i="21"/>
  <c r="Y103" i="21"/>
  <c r="C26" i="26"/>
  <c r="C24" i="26"/>
  <c r="C25" i="26"/>
  <c r="Z201" i="21"/>
  <c r="X3" i="21"/>
  <c r="X4" i="21"/>
  <c r="Z20" i="21"/>
  <c r="Z48" i="21"/>
  <c r="Z58" i="21"/>
  <c r="AO32" i="20"/>
  <c r="AP32" i="20"/>
  <c r="AP31" i="20"/>
  <c r="Z205" i="21"/>
  <c r="Z187" i="21"/>
  <c r="Z171" i="21"/>
  <c r="Z165" i="21"/>
  <c r="Z137" i="21"/>
  <c r="Z125" i="21"/>
  <c r="Z117" i="21"/>
  <c r="Z109" i="21"/>
  <c r="Z69" i="21"/>
  <c r="Z65" i="21"/>
  <c r="Z41" i="21"/>
  <c r="Z193" i="21"/>
  <c r="Z207" i="21"/>
  <c r="Z143" i="21"/>
  <c r="Z115" i="21"/>
  <c r="Z101" i="21"/>
  <c r="Z87" i="21"/>
  <c r="Z210" i="21"/>
  <c r="Z204" i="21"/>
  <c r="Z194" i="21"/>
  <c r="Z188" i="21"/>
  <c r="Z178" i="21"/>
  <c r="Z151" i="21"/>
  <c r="Z145" i="21"/>
  <c r="Z131" i="21"/>
  <c r="Z111" i="21"/>
  <c r="Z97" i="21"/>
  <c r="Z91" i="21"/>
  <c r="Z75" i="21"/>
  <c r="Z63" i="21"/>
  <c r="Z57" i="21"/>
  <c r="Z43" i="21"/>
  <c r="Z31" i="21"/>
  <c r="Z23" i="21"/>
  <c r="Z15" i="21"/>
  <c r="Z181" i="21"/>
  <c r="Z107" i="21"/>
  <c r="Z81" i="21"/>
  <c r="Z73" i="21"/>
  <c r="Z206" i="21"/>
  <c r="Z200" i="21"/>
  <c r="Z190" i="21"/>
  <c r="Z163" i="21"/>
  <c r="Z157" i="21"/>
  <c r="Z89" i="21"/>
  <c r="Z77" i="21"/>
  <c r="Z53" i="21"/>
  <c r="Z49" i="21"/>
  <c r="Z33" i="21"/>
  <c r="Z29" i="21"/>
  <c r="Z25" i="21"/>
  <c r="Z21" i="21"/>
  <c r="Z17" i="21"/>
  <c r="Z13" i="21"/>
  <c r="Z209" i="21"/>
  <c r="Z195" i="21"/>
  <c r="Z169" i="21"/>
  <c r="Z153" i="21"/>
  <c r="Z127" i="21"/>
  <c r="Z202" i="21"/>
  <c r="Z196" i="21"/>
  <c r="Z186" i="21"/>
  <c r="Z176" i="21"/>
  <c r="Z174" i="21"/>
  <c r="Z170" i="21"/>
  <c r="Z166" i="21"/>
  <c r="Z162" i="21"/>
  <c r="Z160" i="21"/>
  <c r="Z132" i="21"/>
  <c r="Z100" i="21"/>
  <c r="Z119" i="21"/>
  <c r="Z103" i="21"/>
  <c r="Z55" i="21"/>
  <c r="Z47" i="21"/>
  <c r="Z39" i="21"/>
  <c r="Z161" i="21"/>
  <c r="Z59" i="21"/>
  <c r="Z198" i="21"/>
  <c r="Z172" i="21"/>
  <c r="Z164" i="21"/>
  <c r="Z154" i="21"/>
  <c r="Z150" i="21"/>
  <c r="Z148" i="21"/>
  <c r="Z146" i="21"/>
  <c r="Z140" i="21"/>
  <c r="Z130" i="21"/>
  <c r="Z126" i="21"/>
  <c r="Z124" i="21"/>
  <c r="Z120" i="21"/>
  <c r="Z114" i="21"/>
  <c r="Z112" i="21"/>
  <c r="Z50" i="21"/>
  <c r="Z40" i="21"/>
  <c r="Z34" i="21"/>
  <c r="Z32" i="21"/>
  <c r="Z26" i="21"/>
  <c r="Z24" i="21"/>
  <c r="Z18" i="21"/>
  <c r="Z16" i="21"/>
  <c r="Z173" i="21"/>
  <c r="Z167" i="21"/>
  <c r="Z159" i="21"/>
  <c r="Z135" i="21"/>
  <c r="Z93" i="21"/>
  <c r="Z79" i="21"/>
  <c r="Z61" i="21"/>
  <c r="Z185" i="21"/>
  <c r="Z203" i="21"/>
  <c r="Z177" i="21"/>
  <c r="Z19" i="21"/>
  <c r="Z175" i="21"/>
  <c r="Z149" i="21"/>
  <c r="Z121" i="21"/>
  <c r="Z95" i="21"/>
  <c r="Z134" i="21"/>
  <c r="Z118" i="21"/>
  <c r="Z116" i="21"/>
  <c r="Z90" i="21"/>
  <c r="Z84" i="21"/>
  <c r="Z82" i="21"/>
  <c r="Z80" i="21"/>
  <c r="Z78" i="21"/>
  <c r="Z68" i="21"/>
  <c r="Z67" i="21"/>
  <c r="Z51" i="21"/>
  <c r="Z45" i="21"/>
  <c r="Z27" i="21"/>
  <c r="Z11" i="21"/>
  <c r="Z197" i="21"/>
  <c r="Z133" i="21"/>
  <c r="Z208" i="21"/>
  <c r="Z158" i="21"/>
  <c r="Z156" i="21"/>
  <c r="Z152" i="21"/>
  <c r="Z106" i="21"/>
  <c r="Z104" i="21"/>
  <c r="Z94" i="21"/>
  <c r="Z88" i="21"/>
  <c r="Z46" i="21"/>
  <c r="Z44" i="21"/>
  <c r="Z42" i="21"/>
  <c r="Z38" i="21"/>
  <c r="Z191" i="21"/>
  <c r="Z155" i="21"/>
  <c r="Z141" i="21"/>
  <c r="Z113" i="21"/>
  <c r="Z99" i="21"/>
  <c r="Z85" i="21"/>
  <c r="Z71" i="21"/>
  <c r="Z35" i="21"/>
  <c r="Z192" i="21"/>
  <c r="Z182" i="21"/>
  <c r="Z142" i="21"/>
  <c r="Z122" i="21"/>
  <c r="Z110" i="21"/>
  <c r="Z96" i="21"/>
  <c r="Z92" i="21"/>
  <c r="Z74" i="21"/>
  <c r="Z183" i="21"/>
  <c r="Z139" i="21"/>
  <c r="Z83" i="21"/>
  <c r="Z37" i="21"/>
  <c r="Z184" i="21"/>
  <c r="Z180" i="21"/>
  <c r="Z168" i="21"/>
  <c r="Z138" i="21"/>
  <c r="Z136" i="21"/>
  <c r="Z128" i="21"/>
  <c r="Z108" i="21"/>
  <c r="Z86" i="21"/>
  <c r="Z76" i="21"/>
  <c r="Z70" i="21"/>
  <c r="Z60" i="21"/>
  <c r="Z54" i="21"/>
  <c r="Z36" i="21"/>
  <c r="Z30" i="21"/>
  <c r="Z22" i="21"/>
  <c r="Z14" i="21"/>
  <c r="Z189" i="21"/>
  <c r="Z199" i="21"/>
  <c r="Z147" i="21"/>
  <c r="Z129" i="21"/>
  <c r="Z123" i="21"/>
  <c r="Z105" i="21"/>
  <c r="Z144" i="21"/>
  <c r="Z102" i="21"/>
  <c r="Z98" i="21"/>
  <c r="Z72" i="21"/>
  <c r="Z10" i="21"/>
  <c r="W4" i="21"/>
  <c r="W3" i="21"/>
  <c r="Z62" i="21"/>
  <c r="Z66" i="21"/>
  <c r="I32" i="20"/>
  <c r="J32" i="20"/>
  <c r="J31" i="20"/>
  <c r="C11" i="20"/>
  <c r="B12" i="20"/>
  <c r="J11" i="20"/>
  <c r="I12" i="20"/>
  <c r="N69" i="25"/>
  <c r="AI69" i="25"/>
  <c r="Z179" i="21"/>
  <c r="Z12" i="21"/>
  <c r="Z28" i="21"/>
  <c r="Z52" i="21"/>
  <c r="CC4" i="20"/>
  <c r="K21" i="26"/>
  <c r="I21" i="26"/>
  <c r="J21" i="26"/>
  <c r="H21" i="26"/>
  <c r="G21" i="26"/>
  <c r="F21" i="26"/>
  <c r="N92" i="25"/>
  <c r="AI92" i="25"/>
  <c r="Y210" i="21"/>
  <c r="Y61" i="21"/>
  <c r="Y85" i="21"/>
  <c r="Y93" i="21"/>
  <c r="Y105" i="21"/>
  <c r="Y113" i="21"/>
  <c r="Y123" i="21"/>
  <c r="Y173" i="21"/>
  <c r="Y205" i="21"/>
  <c r="Y198" i="21"/>
  <c r="Y86" i="21"/>
  <c r="Y90" i="21"/>
  <c r="Y98" i="21"/>
  <c r="Y104" i="21"/>
  <c r="Y110" i="21"/>
  <c r="Y116" i="21"/>
  <c r="Y118" i="21"/>
  <c r="Y130" i="21"/>
  <c r="Y132" i="21"/>
  <c r="Y134" i="21"/>
  <c r="Y138" i="21"/>
  <c r="Y144" i="21"/>
  <c r="Y154" i="21"/>
  <c r="Y156" i="21"/>
  <c r="Y160" i="21"/>
  <c r="Y149" i="21"/>
  <c r="Y15" i="21"/>
  <c r="Y31" i="21"/>
  <c r="Y47" i="21"/>
  <c r="Y55" i="21"/>
  <c r="Y75" i="21"/>
  <c r="Y157" i="21"/>
  <c r="Y209" i="21"/>
  <c r="E12" i="20"/>
  <c r="Q12" i="20"/>
  <c r="Y190" i="21"/>
  <c r="Y206" i="21"/>
  <c r="Y193" i="21"/>
  <c r="Y151" i="21"/>
  <c r="Y145" i="21"/>
  <c r="Y117" i="21"/>
  <c r="Y91" i="21"/>
  <c r="Y89" i="21"/>
  <c r="Y77" i="21"/>
  <c r="Y53" i="21"/>
  <c r="Y43" i="21"/>
  <c r="Y195" i="21"/>
  <c r="Y189" i="21"/>
  <c r="Y169" i="21"/>
  <c r="Y153" i="21"/>
  <c r="Y143" i="21"/>
  <c r="Y115" i="21"/>
  <c r="Y196" i="21"/>
  <c r="Y176" i="21"/>
  <c r="Y203" i="21"/>
  <c r="Y197" i="21"/>
  <c r="Y183" i="21"/>
  <c r="Y177" i="21"/>
  <c r="Y163" i="21"/>
  <c r="Y139" i="21"/>
  <c r="Y125" i="21"/>
  <c r="Y83" i="21"/>
  <c r="Y69" i="21"/>
  <c r="Y67" i="21"/>
  <c r="Y63" i="21"/>
  <c r="Y51" i="21"/>
  <c r="Y49" i="21"/>
  <c r="Y39" i="21"/>
  <c r="Y37" i="21"/>
  <c r="Y35" i="21"/>
  <c r="Y33" i="21"/>
  <c r="Y29" i="21"/>
  <c r="Y27" i="21"/>
  <c r="Y25" i="21"/>
  <c r="Y21" i="21"/>
  <c r="Y19" i="21"/>
  <c r="Y17" i="21"/>
  <c r="Y13" i="21"/>
  <c r="Y11" i="21"/>
  <c r="Y161" i="21"/>
  <c r="Y133" i="21"/>
  <c r="Y121" i="21"/>
  <c r="Y107" i="21"/>
  <c r="Y59" i="21"/>
  <c r="Y208" i="21"/>
  <c r="Y192" i="21"/>
  <c r="Y187" i="21"/>
  <c r="Y165" i="21"/>
  <c r="Y137" i="21"/>
  <c r="Y119" i="21"/>
  <c r="Y65" i="21"/>
  <c r="Y45" i="21"/>
  <c r="Y41" i="21"/>
  <c r="Y207" i="21"/>
  <c r="Y201" i="21"/>
  <c r="Y175" i="21"/>
  <c r="Y127" i="21"/>
  <c r="Y101" i="21"/>
  <c r="Y95" i="21"/>
  <c r="Y204" i="21"/>
  <c r="Y188" i="21"/>
  <c r="Y182" i="21"/>
  <c r="Y172" i="21"/>
  <c r="Y170" i="21"/>
  <c r="Y168" i="21"/>
  <c r="Y164" i="21"/>
  <c r="Y162" i="21"/>
  <c r="Y142" i="21"/>
  <c r="Y114" i="21"/>
  <c r="N115" i="25"/>
  <c r="AI115" i="25"/>
  <c r="Y71" i="21"/>
  <c r="Y129" i="21"/>
  <c r="Y135" i="21"/>
  <c r="Y155" i="21"/>
  <c r="Y179" i="21"/>
  <c r="Y12" i="21"/>
  <c r="Y20" i="21"/>
  <c r="Y28" i="21"/>
  <c r="Y40" i="21"/>
  <c r="Y48" i="21"/>
  <c r="Y52" i="21"/>
  <c r="Y56" i="21"/>
  <c r="Y58" i="21"/>
  <c r="Y62" i="21"/>
  <c r="Y64" i="21"/>
  <c r="Y72" i="21"/>
  <c r="Y74" i="21"/>
  <c r="Y78" i="21"/>
  <c r="Y80" i="21"/>
  <c r="Y88" i="21"/>
  <c r="Y96" i="21"/>
  <c r="Y112" i="21"/>
  <c r="Y122" i="21"/>
  <c r="Y124" i="21"/>
  <c r="Y128" i="21"/>
  <c r="Y140" i="21"/>
  <c r="Y152" i="21"/>
  <c r="Y178" i="21"/>
  <c r="Y180" i="21"/>
  <c r="Y184" i="21"/>
  <c r="Y81" i="21"/>
  <c r="Y97" i="21"/>
  <c r="Y131" i="21"/>
  <c r="Y186" i="21"/>
  <c r="C30" i="20"/>
  <c r="V11" i="20"/>
  <c r="Y141" i="21"/>
  <c r="Y147" i="21"/>
  <c r="Y159" i="21"/>
  <c r="Y199" i="21"/>
  <c r="Y14" i="21"/>
  <c r="Y18" i="21"/>
  <c r="Y22" i="21"/>
  <c r="Y26" i="21"/>
  <c r="Y30" i="21"/>
  <c r="Y34" i="21"/>
  <c r="Y36" i="21"/>
  <c r="Y46" i="21"/>
  <c r="Y50" i="21"/>
  <c r="Y54" i="21"/>
  <c r="Y70" i="21"/>
  <c r="Y82" i="21"/>
  <c r="Y94" i="21"/>
  <c r="Y100" i="21"/>
  <c r="Y102" i="21"/>
  <c r="Y106" i="21"/>
  <c r="Y120" i="21"/>
  <c r="Y136" i="21"/>
  <c r="Y158" i="21"/>
  <c r="Y181" i="21"/>
  <c r="Y23" i="21"/>
  <c r="Y10" i="21"/>
  <c r="N46" i="25"/>
  <c r="AI46" i="25"/>
  <c r="B23" i="25"/>
  <c r="N23" i="25"/>
  <c r="AI23" i="25"/>
  <c r="X20" i="22"/>
  <c r="Q18" i="22"/>
  <c r="W20" i="22"/>
  <c r="AA8" i="21"/>
  <c r="AA61" i="21"/>
  <c r="AB7" i="21"/>
  <c r="CM11" i="20"/>
  <c r="CN11" i="20"/>
  <c r="CN10" i="20"/>
  <c r="CN9" i="20"/>
  <c r="V30" i="20"/>
  <c r="V33" i="20"/>
  <c r="V37" i="20"/>
  <c r="V41" i="20"/>
  <c r="V45" i="20"/>
  <c r="V34" i="20"/>
  <c r="V38" i="20"/>
  <c r="V42" i="20"/>
  <c r="V46" i="20"/>
  <c r="V31" i="20"/>
  <c r="V35" i="20"/>
  <c r="V39" i="20"/>
  <c r="V43" i="20"/>
  <c r="V47" i="20"/>
  <c r="V32" i="20"/>
  <c r="V36" i="20"/>
  <c r="V40" i="20"/>
  <c r="V44" i="20"/>
  <c r="V48" i="20"/>
  <c r="Q31" i="20"/>
  <c r="R31" i="20"/>
  <c r="U13" i="20"/>
  <c r="M33" i="20"/>
  <c r="M14" i="20"/>
  <c r="I33" i="20"/>
  <c r="J33" i="20"/>
  <c r="E32" i="20"/>
  <c r="F32" i="20"/>
  <c r="B32" i="20"/>
  <c r="C32" i="20"/>
  <c r="AY4" i="20"/>
  <c r="AR33" i="20"/>
  <c r="AS32" i="20"/>
  <c r="AS31" i="20"/>
  <c r="AO33" i="20"/>
  <c r="AO12" i="20"/>
  <c r="C28" i="26"/>
  <c r="Q16" i="22"/>
  <c r="AA63" i="21"/>
  <c r="AA43" i="21"/>
  <c r="AA170" i="21"/>
  <c r="AA146" i="21"/>
  <c r="AA132" i="21"/>
  <c r="AA106" i="21"/>
  <c r="AA52" i="21"/>
  <c r="AA36" i="21"/>
  <c r="AA12" i="21"/>
  <c r="AA140" i="21"/>
  <c r="AA180" i="21"/>
  <c r="AA161" i="21"/>
  <c r="AA37" i="21"/>
  <c r="AA117" i="21"/>
  <c r="AA183" i="21"/>
  <c r="AA127" i="21"/>
  <c r="AA11" i="21"/>
  <c r="AA29" i="21"/>
  <c r="AA55" i="21"/>
  <c r="AA111" i="21"/>
  <c r="AA200" i="21"/>
  <c r="AA143" i="21"/>
  <c r="AA77" i="21"/>
  <c r="AA193" i="21"/>
  <c r="AA25" i="21"/>
  <c r="AA148" i="21"/>
  <c r="AA110" i="21"/>
  <c r="AA80" i="21"/>
  <c r="AA64" i="21"/>
  <c r="AA42" i="21"/>
  <c r="AA22" i="21"/>
  <c r="AA99" i="21"/>
  <c r="AA81" i="21"/>
  <c r="AA20" i="21"/>
  <c r="AA164" i="21"/>
  <c r="AA182" i="21"/>
  <c r="AA188" i="21"/>
  <c r="AA41" i="21"/>
  <c r="AA125" i="21"/>
  <c r="AA186" i="21"/>
  <c r="AA149" i="21"/>
  <c r="AA13" i="21"/>
  <c r="AA45" i="21"/>
  <c r="AA75" i="21"/>
  <c r="AA119" i="21"/>
  <c r="AA190" i="21"/>
  <c r="AA175" i="21"/>
  <c r="AA137" i="21"/>
  <c r="AA87" i="21"/>
  <c r="AA98" i="21"/>
  <c r="AA88" i="21"/>
  <c r="AA72" i="21"/>
  <c r="AA56" i="21"/>
  <c r="AA126" i="21"/>
  <c r="AA173" i="21"/>
  <c r="AA194" i="21"/>
  <c r="AA118" i="21"/>
  <c r="AA209" i="21"/>
  <c r="AA168" i="21"/>
  <c r="AA124" i="21"/>
  <c r="AA89" i="21"/>
  <c r="AA160" i="21"/>
  <c r="AA136" i="21"/>
  <c r="AA167" i="21"/>
  <c r="AA123" i="21"/>
  <c r="AA166" i="21"/>
  <c r="AA115" i="21"/>
  <c r="AA15" i="21"/>
  <c r="AA65" i="21"/>
  <c r="AA165" i="21"/>
  <c r="AA202" i="21"/>
  <c r="AA153" i="21"/>
  <c r="AA21" i="21"/>
  <c r="AA47" i="21"/>
  <c r="AA91" i="21"/>
  <c r="AA177" i="21"/>
  <c r="AA206" i="21"/>
  <c r="AA189" i="21"/>
  <c r="AA157" i="21"/>
  <c r="AA83" i="21"/>
  <c r="AA138" i="21"/>
  <c r="AA120" i="21"/>
  <c r="AA82" i="21"/>
  <c r="AA76" i="21"/>
  <c r="AA66" i="21"/>
  <c r="AA60" i="21"/>
  <c r="AA32" i="21"/>
  <c r="AA16" i="21"/>
  <c r="AA10" i="21"/>
  <c r="AA205" i="21"/>
  <c r="AA134" i="21"/>
  <c r="AA192" i="21"/>
  <c r="AA174" i="21"/>
  <c r="AA121" i="21"/>
  <c r="AA23" i="21"/>
  <c r="AA97" i="21"/>
  <c r="AA171" i="21"/>
  <c r="AA101" i="21"/>
  <c r="AA195" i="21"/>
  <c r="AA27" i="21"/>
  <c r="AA51" i="21"/>
  <c r="AA109" i="21"/>
  <c r="AA197" i="21"/>
  <c r="AA73" i="21"/>
  <c r="AA57" i="21"/>
  <c r="AA163" i="21"/>
  <c r="AA49" i="21"/>
  <c r="AA150" i="21"/>
  <c r="AA90" i="21"/>
  <c r="AA79" i="21"/>
  <c r="I13" i="20"/>
  <c r="J12" i="20"/>
  <c r="AA74" i="21"/>
  <c r="AA68" i="21"/>
  <c r="AA48" i="21"/>
  <c r="AA30" i="21"/>
  <c r="AA199" i="21"/>
  <c r="Q13" i="20"/>
  <c r="R12" i="20"/>
  <c r="AA210" i="21"/>
  <c r="AA152" i="21"/>
  <c r="AA122" i="21"/>
  <c r="AA147" i="21"/>
  <c r="N116" i="25"/>
  <c r="AI116" i="25"/>
  <c r="AA187" i="21"/>
  <c r="CM12" i="20"/>
  <c r="E13" i="20"/>
  <c r="F12" i="20"/>
  <c r="AA181" i="21"/>
  <c r="AA102" i="21"/>
  <c r="AA179" i="21"/>
  <c r="AA135" i="21"/>
  <c r="N93" i="25"/>
  <c r="AI93" i="25"/>
  <c r="B13" i="20"/>
  <c r="C12" i="20"/>
  <c r="Z3" i="21"/>
  <c r="Z4" i="21"/>
  <c r="Y3" i="21"/>
  <c r="Y4" i="21"/>
  <c r="U14" i="20"/>
  <c r="V13" i="20"/>
  <c r="AA151" i="21"/>
  <c r="AA33" i="21"/>
  <c r="AA207" i="21"/>
  <c r="AA176" i="21"/>
  <c r="AA158" i="21"/>
  <c r="AA108" i="21"/>
  <c r="AA17" i="21"/>
  <c r="AA95" i="21"/>
  <c r="AA178" i="21"/>
  <c r="AA114" i="21"/>
  <c r="AA94" i="21"/>
  <c r="AA86" i="21"/>
  <c r="AA78" i="21"/>
  <c r="AA70" i="21"/>
  <c r="AA154" i="21"/>
  <c r="AA130" i="21"/>
  <c r="AA92" i="21"/>
  <c r="AA62" i="21"/>
  <c r="AA54" i="21"/>
  <c r="AA50" i="21"/>
  <c r="AA26" i="21"/>
  <c r="AA129" i="21"/>
  <c r="AA113" i="21"/>
  <c r="AA85" i="21"/>
  <c r="AA208" i="21"/>
  <c r="AA44" i="21"/>
  <c r="AA40" i="21"/>
  <c r="AA196" i="21"/>
  <c r="AA185" i="21"/>
  <c r="AA155" i="21"/>
  <c r="AA93" i="21"/>
  <c r="AA38" i="21"/>
  <c r="AA34" i="21"/>
  <c r="AA18" i="21"/>
  <c r="AA159" i="21"/>
  <c r="AA141" i="21"/>
  <c r="AA105" i="21"/>
  <c r="AA46" i="21"/>
  <c r="AA71" i="21"/>
  <c r="N70" i="25"/>
  <c r="AI70" i="25"/>
  <c r="AA67" i="21"/>
  <c r="AA162" i="21"/>
  <c r="AA128" i="21"/>
  <c r="AA116" i="21"/>
  <c r="AA28" i="21"/>
  <c r="AA191" i="21"/>
  <c r="AA104" i="21"/>
  <c r="AA172" i="21"/>
  <c r="AA198" i="21"/>
  <c r="AA201" i="21"/>
  <c r="AA31" i="21"/>
  <c r="AA69" i="21"/>
  <c r="AA139" i="21"/>
  <c r="AA203" i="21"/>
  <c r="AA107" i="21"/>
  <c r="AA169" i="21"/>
  <c r="AA19" i="21"/>
  <c r="AA35" i="21"/>
  <c r="AA53" i="21"/>
  <c r="AA103" i="21"/>
  <c r="AA131" i="21"/>
  <c r="AA184" i="21"/>
  <c r="AA133" i="21"/>
  <c r="AA204" i="21"/>
  <c r="AA145" i="21"/>
  <c r="AA39" i="21"/>
  <c r="AA59" i="21"/>
  <c r="AA156" i="21"/>
  <c r="AA144" i="21"/>
  <c r="AA112" i="21"/>
  <c r="AA96" i="21"/>
  <c r="AA84" i="21"/>
  <c r="AA58" i="21"/>
  <c r="AA24" i="21"/>
  <c r="AA14" i="21"/>
  <c r="AA142" i="21"/>
  <c r="AA100" i="21"/>
  <c r="N47" i="25"/>
  <c r="AI47" i="25"/>
  <c r="B24" i="25"/>
  <c r="N24" i="25"/>
  <c r="AI24" i="25"/>
  <c r="AC7" i="21"/>
  <c r="AB8" i="21"/>
  <c r="AB111" i="21"/>
  <c r="Q32" i="20"/>
  <c r="R32" i="20"/>
  <c r="M34" i="20"/>
  <c r="M15" i="20"/>
  <c r="I34" i="20"/>
  <c r="J34" i="20"/>
  <c r="E33" i="20"/>
  <c r="F33" i="20"/>
  <c r="B33" i="20"/>
  <c r="C33" i="20"/>
  <c r="AR34" i="20"/>
  <c r="AS33" i="20"/>
  <c r="AP33" i="20"/>
  <c r="AO34" i="20"/>
  <c r="AP12" i="20"/>
  <c r="AO13" i="20"/>
  <c r="AA3" i="21"/>
  <c r="AB167" i="21"/>
  <c r="AB185" i="21"/>
  <c r="AB68" i="21"/>
  <c r="AB164" i="21"/>
  <c r="AB152" i="21"/>
  <c r="AB99" i="21"/>
  <c r="AB26" i="21"/>
  <c r="AB40" i="21"/>
  <c r="AB134" i="21"/>
  <c r="AB15" i="21"/>
  <c r="AB76" i="21"/>
  <c r="AB53" i="21"/>
  <c r="AB135" i="21"/>
  <c r="AB159" i="21"/>
  <c r="AB66" i="21"/>
  <c r="AB104" i="21"/>
  <c r="AB126" i="21"/>
  <c r="AB189" i="21"/>
  <c r="AB110" i="21"/>
  <c r="AB81" i="21"/>
  <c r="AB17" i="21"/>
  <c r="AB33" i="21"/>
  <c r="AB51" i="21"/>
  <c r="AB198" i="21"/>
  <c r="AB191" i="21"/>
  <c r="AB45" i="21"/>
  <c r="AB97" i="21"/>
  <c r="AB151" i="21"/>
  <c r="AB180" i="21"/>
  <c r="AB208" i="21"/>
  <c r="AB121" i="21"/>
  <c r="AB21" i="21"/>
  <c r="CM13" i="20"/>
  <c r="CN12" i="20"/>
  <c r="AB203" i="21"/>
  <c r="AB56" i="21"/>
  <c r="AB69" i="21"/>
  <c r="AB16" i="21"/>
  <c r="AB42" i="21"/>
  <c r="AB96" i="21"/>
  <c r="AB128" i="21"/>
  <c r="AB166" i="21"/>
  <c r="AB190" i="21"/>
  <c r="AB84" i="21"/>
  <c r="AB160" i="21"/>
  <c r="AB105" i="21"/>
  <c r="AB14" i="21"/>
  <c r="AB30" i="21"/>
  <c r="AB46" i="21"/>
  <c r="AB86" i="21"/>
  <c r="AB146" i="21"/>
  <c r="AB73" i="21"/>
  <c r="AB31" i="21"/>
  <c r="AB125" i="21"/>
  <c r="AB100" i="21"/>
  <c r="AB156" i="21"/>
  <c r="AB89" i="21"/>
  <c r="AB79" i="21"/>
  <c r="AB141" i="21"/>
  <c r="AB12" i="21"/>
  <c r="AB58" i="21"/>
  <c r="AB74" i="21"/>
  <c r="AB88" i="21"/>
  <c r="AB108" i="21"/>
  <c r="AB142" i="21"/>
  <c r="AB176" i="21"/>
  <c r="AB55" i="21"/>
  <c r="AB118" i="21"/>
  <c r="AB194" i="21"/>
  <c r="AB127" i="21"/>
  <c r="AB175" i="21"/>
  <c r="AB19" i="21"/>
  <c r="AB35" i="21"/>
  <c r="AB67" i="21"/>
  <c r="AB165" i="21"/>
  <c r="AB204" i="21"/>
  <c r="AB37" i="21"/>
  <c r="AB63" i="21"/>
  <c r="AB117" i="21"/>
  <c r="AB157" i="21"/>
  <c r="AB186" i="21"/>
  <c r="AB87" i="21"/>
  <c r="AB149" i="21"/>
  <c r="AB29" i="21"/>
  <c r="AB197" i="21"/>
  <c r="C13" i="20"/>
  <c r="B14" i="20"/>
  <c r="F13" i="20"/>
  <c r="E14" i="20"/>
  <c r="J13" i="20"/>
  <c r="I14" i="20"/>
  <c r="N71" i="25"/>
  <c r="AI71" i="25"/>
  <c r="AB140" i="21"/>
  <c r="AB124" i="21"/>
  <c r="AB193" i="21"/>
  <c r="AB205" i="21"/>
  <c r="AB70" i="21"/>
  <c r="AB196" i="21"/>
  <c r="AB138" i="21"/>
  <c r="AB10" i="21"/>
  <c r="AB52" i="21"/>
  <c r="AB82" i="21"/>
  <c r="AB170" i="21"/>
  <c r="AB184" i="21"/>
  <c r="AB169" i="21"/>
  <c r="AB139" i="21"/>
  <c r="AB177" i="21"/>
  <c r="U15" i="20"/>
  <c r="V14" i="20"/>
  <c r="AB61" i="21"/>
  <c r="AB60" i="21"/>
  <c r="AB129" i="21"/>
  <c r="AB24" i="21"/>
  <c r="AB44" i="21"/>
  <c r="AB116" i="21"/>
  <c r="AB132" i="21"/>
  <c r="AB168" i="21"/>
  <c r="AB161" i="21"/>
  <c r="AB90" i="21"/>
  <c r="AB183" i="21"/>
  <c r="AB123" i="21"/>
  <c r="AB18" i="21"/>
  <c r="AB34" i="21"/>
  <c r="AB50" i="21"/>
  <c r="AB94" i="21"/>
  <c r="AB154" i="21"/>
  <c r="AB95" i="21"/>
  <c r="AB41" i="21"/>
  <c r="AB163" i="21"/>
  <c r="AB112" i="21"/>
  <c r="AB182" i="21"/>
  <c r="AB145" i="21"/>
  <c r="AB85" i="21"/>
  <c r="AB147" i="21"/>
  <c r="AB20" i="21"/>
  <c r="AB62" i="21"/>
  <c r="AB78" i="21"/>
  <c r="AB92" i="21"/>
  <c r="AB114" i="21"/>
  <c r="AB144" i="21"/>
  <c r="AB206" i="21"/>
  <c r="AB75" i="21"/>
  <c r="AB150" i="21"/>
  <c r="AB200" i="21"/>
  <c r="AB133" i="21"/>
  <c r="AB181" i="21"/>
  <c r="AB25" i="21"/>
  <c r="AB47" i="21"/>
  <c r="AB83" i="21"/>
  <c r="AB209" i="21"/>
  <c r="AB59" i="21"/>
  <c r="AB39" i="21"/>
  <c r="AB65" i="21"/>
  <c r="AB131" i="21"/>
  <c r="AB171" i="21"/>
  <c r="AB192" i="21"/>
  <c r="AB107" i="21"/>
  <c r="AB195" i="21"/>
  <c r="AB91" i="21"/>
  <c r="AA4" i="21"/>
  <c r="R13" i="20"/>
  <c r="Q14" i="20"/>
  <c r="N94" i="25"/>
  <c r="AI94" i="25"/>
  <c r="AB38" i="21"/>
  <c r="AB174" i="21"/>
  <c r="AB109" i="21"/>
  <c r="AB187" i="21"/>
  <c r="AB93" i="21"/>
  <c r="AB173" i="21"/>
  <c r="AB32" i="21"/>
  <c r="AB48" i="21"/>
  <c r="AB120" i="21"/>
  <c r="AB136" i="21"/>
  <c r="AB172" i="21"/>
  <c r="AB119" i="21"/>
  <c r="AB148" i="21"/>
  <c r="AB71" i="21"/>
  <c r="AB179" i="21"/>
  <c r="AB22" i="21"/>
  <c r="AB36" i="21"/>
  <c r="AB54" i="21"/>
  <c r="AB106" i="21"/>
  <c r="AB158" i="21"/>
  <c r="AB153" i="21"/>
  <c r="AB57" i="21"/>
  <c r="AB72" i="21"/>
  <c r="AB130" i="21"/>
  <c r="AB23" i="21"/>
  <c r="AB199" i="21"/>
  <c r="AB113" i="21"/>
  <c r="AB155" i="21"/>
  <c r="AB28" i="21"/>
  <c r="AB64" i="21"/>
  <c r="AB80" i="21"/>
  <c r="AB98" i="21"/>
  <c r="AB122" i="21"/>
  <c r="AB162" i="21"/>
  <c r="AB101" i="21"/>
  <c r="AB102" i="21"/>
  <c r="AB178" i="21"/>
  <c r="AB210" i="21"/>
  <c r="AB143" i="21"/>
  <c r="AB11" i="21"/>
  <c r="AB27" i="21"/>
  <c r="AB49" i="21"/>
  <c r="AB103" i="21"/>
  <c r="AB188" i="21"/>
  <c r="AB201" i="21"/>
  <c r="AB43" i="21"/>
  <c r="AB77" i="21"/>
  <c r="AB137" i="21"/>
  <c r="AB207" i="21"/>
  <c r="AB202" i="21"/>
  <c r="AB115" i="21"/>
  <c r="AB13" i="21"/>
  <c r="N117" i="25"/>
  <c r="AI117" i="25"/>
  <c r="B25" i="25"/>
  <c r="N25" i="25"/>
  <c r="AI25" i="25"/>
  <c r="N48" i="25"/>
  <c r="AI48" i="25"/>
  <c r="AD7" i="21"/>
  <c r="AC8" i="21"/>
  <c r="AC198" i="21"/>
  <c r="Q33" i="20"/>
  <c r="R33" i="20"/>
  <c r="M16" i="20"/>
  <c r="M35" i="20"/>
  <c r="I35" i="20"/>
  <c r="J35" i="20"/>
  <c r="E34" i="20"/>
  <c r="F34" i="20"/>
  <c r="B34" i="20"/>
  <c r="C34" i="20"/>
  <c r="AR35" i="20"/>
  <c r="AS34" i="20"/>
  <c r="AP34" i="20"/>
  <c r="AO35" i="20"/>
  <c r="AP13" i="20"/>
  <c r="AO14" i="20"/>
  <c r="AC159" i="21"/>
  <c r="AC30" i="21"/>
  <c r="AC94" i="21"/>
  <c r="AC61" i="21"/>
  <c r="AC176" i="21"/>
  <c r="AC187" i="21"/>
  <c r="AC68" i="21"/>
  <c r="AC188" i="21"/>
  <c r="AC152" i="21"/>
  <c r="AC39" i="21"/>
  <c r="AC182" i="21"/>
  <c r="AC200" i="21"/>
  <c r="AC139" i="21"/>
  <c r="AC158" i="21"/>
  <c r="AC48" i="21"/>
  <c r="AC124" i="21"/>
  <c r="AC141" i="21"/>
  <c r="AC17" i="21"/>
  <c r="AC105" i="21"/>
  <c r="AC86" i="21"/>
  <c r="AC53" i="21"/>
  <c r="AC208" i="21"/>
  <c r="AC57" i="21"/>
  <c r="AC127" i="21"/>
  <c r="AC181" i="21"/>
  <c r="AC179" i="21"/>
  <c r="AC62" i="21"/>
  <c r="AC146" i="21"/>
  <c r="AC36" i="21"/>
  <c r="AC115" i="21"/>
  <c r="AC210" i="21"/>
  <c r="AC108" i="21"/>
  <c r="AC104" i="21"/>
  <c r="AC149" i="21"/>
  <c r="AC125" i="21"/>
  <c r="AC202" i="21"/>
  <c r="AC37" i="21"/>
  <c r="AC123" i="21"/>
  <c r="AC20" i="21"/>
  <c r="AC78" i="21"/>
  <c r="AC163" i="21"/>
  <c r="AC130" i="21"/>
  <c r="AC45" i="21"/>
  <c r="AC42" i="21"/>
  <c r="AC164" i="21"/>
  <c r="AC128" i="21"/>
  <c r="AC11" i="21"/>
  <c r="AC177" i="21"/>
  <c r="AC171" i="21"/>
  <c r="AC75" i="21"/>
  <c r="N95" i="25"/>
  <c r="AI95" i="25"/>
  <c r="R14" i="20"/>
  <c r="Q15" i="20"/>
  <c r="AC54" i="21"/>
  <c r="AC173" i="21"/>
  <c r="AC79" i="21"/>
  <c r="AC12" i="21"/>
  <c r="AC22" i="21"/>
  <c r="AC34" i="21"/>
  <c r="AC50" i="21"/>
  <c r="AC64" i="21"/>
  <c r="AC80" i="21"/>
  <c r="AC96" i="21"/>
  <c r="AC126" i="21"/>
  <c r="AC204" i="21"/>
  <c r="AC116" i="21"/>
  <c r="AC85" i="21"/>
  <c r="AC147" i="21"/>
  <c r="AC100" i="21"/>
  <c r="AC150" i="21"/>
  <c r="AC121" i="21"/>
  <c r="AC33" i="21"/>
  <c r="AC201" i="21"/>
  <c r="AC49" i="21"/>
  <c r="AC206" i="21"/>
  <c r="AC185" i="21"/>
  <c r="AC16" i="21"/>
  <c r="AC44" i="21"/>
  <c r="AC74" i="21"/>
  <c r="AC90" i="21"/>
  <c r="AC118" i="21"/>
  <c r="AC166" i="21"/>
  <c r="AC59" i="21"/>
  <c r="AC77" i="21"/>
  <c r="AC112" i="21"/>
  <c r="AC134" i="21"/>
  <c r="AC154" i="21"/>
  <c r="AC73" i="21"/>
  <c r="AC153" i="21"/>
  <c r="AC19" i="21"/>
  <c r="AC47" i="21"/>
  <c r="AC97" i="21"/>
  <c r="AC131" i="21"/>
  <c r="AC183" i="21"/>
  <c r="AC196" i="21"/>
  <c r="AC169" i="21"/>
  <c r="AC41" i="21"/>
  <c r="AC193" i="21"/>
  <c r="AC87" i="21"/>
  <c r="AC15" i="21"/>
  <c r="AC65" i="21"/>
  <c r="AC83" i="21"/>
  <c r="AC157" i="21"/>
  <c r="N72" i="25"/>
  <c r="AI72" i="25"/>
  <c r="N118" i="25"/>
  <c r="AI118" i="25"/>
  <c r="J14" i="20"/>
  <c r="I15" i="20"/>
  <c r="C14" i="20"/>
  <c r="B15" i="20"/>
  <c r="AC99" i="21"/>
  <c r="AC132" i="21"/>
  <c r="AC135" i="21"/>
  <c r="AC14" i="21"/>
  <c r="AC26" i="21"/>
  <c r="AC38" i="21"/>
  <c r="AC52" i="21"/>
  <c r="AC66" i="21"/>
  <c r="AC82" i="21"/>
  <c r="AC106" i="21"/>
  <c r="AC140" i="21"/>
  <c r="AC186" i="21"/>
  <c r="AC156" i="21"/>
  <c r="AC113" i="21"/>
  <c r="AC167" i="21"/>
  <c r="AC102" i="21"/>
  <c r="AC162" i="21"/>
  <c r="AC143" i="21"/>
  <c r="AC70" i="21"/>
  <c r="AC25" i="21"/>
  <c r="AC63" i="21"/>
  <c r="AC71" i="21"/>
  <c r="AC191" i="21"/>
  <c r="AC24" i="21"/>
  <c r="AC58" i="21"/>
  <c r="AC76" i="21"/>
  <c r="AC92" i="21"/>
  <c r="AC148" i="21"/>
  <c r="AC172" i="21"/>
  <c r="AC13" i="21"/>
  <c r="AC119" i="21"/>
  <c r="AC120" i="21"/>
  <c r="AC136" i="21"/>
  <c r="AC180" i="21"/>
  <c r="AC95" i="21"/>
  <c r="AC161" i="21"/>
  <c r="AC27" i="21"/>
  <c r="AC51" i="21"/>
  <c r="AC109" i="21"/>
  <c r="AC137" i="21"/>
  <c r="AC197" i="21"/>
  <c r="AC81" i="21"/>
  <c r="AC189" i="21"/>
  <c r="AC91" i="21"/>
  <c r="AC178" i="21"/>
  <c r="AC133" i="21"/>
  <c r="AC23" i="21"/>
  <c r="AC67" i="21"/>
  <c r="AC89" i="21"/>
  <c r="AC209" i="21"/>
  <c r="F14" i="20"/>
  <c r="E15" i="20"/>
  <c r="AD47" i="21"/>
  <c r="AD200" i="21"/>
  <c r="AD34" i="21"/>
  <c r="U16" i="20"/>
  <c r="V15" i="20"/>
  <c r="AB3" i="21"/>
  <c r="AB4" i="21"/>
  <c r="AC205" i="21"/>
  <c r="AC46" i="21"/>
  <c r="AC138" i="21"/>
  <c r="AC155" i="21"/>
  <c r="AC18" i="21"/>
  <c r="AC28" i="21"/>
  <c r="AC40" i="21"/>
  <c r="AC56" i="21"/>
  <c r="AC72" i="21"/>
  <c r="AC88" i="21"/>
  <c r="AC114" i="21"/>
  <c r="AC142" i="21"/>
  <c r="AC21" i="21"/>
  <c r="AC190" i="21"/>
  <c r="AC129" i="21"/>
  <c r="AC199" i="21"/>
  <c r="AC110" i="21"/>
  <c r="AC170" i="21"/>
  <c r="AC207" i="21"/>
  <c r="AC168" i="21"/>
  <c r="AC43" i="21"/>
  <c r="AC117" i="21"/>
  <c r="AC93" i="21"/>
  <c r="AC194" i="21"/>
  <c r="AC32" i="21"/>
  <c r="AC60" i="21"/>
  <c r="AC84" i="21"/>
  <c r="AC98" i="21"/>
  <c r="AC160" i="21"/>
  <c r="AC174" i="21"/>
  <c r="AC29" i="21"/>
  <c r="AC165" i="21"/>
  <c r="AC122" i="21"/>
  <c r="AC144" i="21"/>
  <c r="AC192" i="21"/>
  <c r="AC107" i="21"/>
  <c r="AC10" i="21"/>
  <c r="AC35" i="21"/>
  <c r="AC55" i="21"/>
  <c r="AC111" i="21"/>
  <c r="AC145" i="21"/>
  <c r="AC203" i="21"/>
  <c r="AC101" i="21"/>
  <c r="AC195" i="21"/>
  <c r="AC151" i="21"/>
  <c r="AC184" i="21"/>
  <c r="AC175" i="21"/>
  <c r="AC31" i="21"/>
  <c r="AC69" i="21"/>
  <c r="AC103" i="21"/>
  <c r="CN13" i="20"/>
  <c r="CM14" i="20"/>
  <c r="N49" i="25"/>
  <c r="AI49" i="25"/>
  <c r="B26" i="25"/>
  <c r="N26" i="25"/>
  <c r="AI26" i="25"/>
  <c r="AD8" i="21"/>
  <c r="AD203" i="21"/>
  <c r="AE7" i="21"/>
  <c r="Q34" i="20"/>
  <c r="R34" i="20"/>
  <c r="M36" i="20"/>
  <c r="M17" i="20"/>
  <c r="I36" i="20"/>
  <c r="J36" i="20"/>
  <c r="E35" i="20"/>
  <c r="F35" i="20"/>
  <c r="B35" i="20"/>
  <c r="C35" i="20"/>
  <c r="AR36" i="20"/>
  <c r="AS35" i="20"/>
  <c r="AP35" i="20"/>
  <c r="AO36" i="20"/>
  <c r="AO15" i="20"/>
  <c r="AP14" i="20"/>
  <c r="CD51" i="6"/>
  <c r="CD52" i="6"/>
  <c r="CD53" i="6"/>
  <c r="CD54" i="6"/>
  <c r="CD55" i="6"/>
  <c r="CD56" i="6"/>
  <c r="CD57" i="6"/>
  <c r="CD58" i="6"/>
  <c r="CD59" i="6"/>
  <c r="CD60" i="6"/>
  <c r="CD61" i="6"/>
  <c r="CD62" i="6"/>
  <c r="CD63" i="6"/>
  <c r="CD64" i="6"/>
  <c r="CD65" i="6"/>
  <c r="CD66" i="6"/>
  <c r="CD67" i="6"/>
  <c r="CD68" i="6"/>
  <c r="CD69" i="6"/>
  <c r="CD70" i="6"/>
  <c r="AD62" i="21"/>
  <c r="AD42" i="21"/>
  <c r="AD207" i="21"/>
  <c r="AD82" i="21"/>
  <c r="AD120" i="21"/>
  <c r="AD81" i="21"/>
  <c r="AD199" i="21"/>
  <c r="AD170" i="21"/>
  <c r="AD109" i="21"/>
  <c r="AD40" i="21"/>
  <c r="AD78" i="21"/>
  <c r="AD93" i="21"/>
  <c r="AD60" i="21"/>
  <c r="AD186" i="21"/>
  <c r="AD96" i="21"/>
  <c r="AD134" i="21"/>
  <c r="AD121" i="21"/>
  <c r="AD151" i="21"/>
  <c r="AD117" i="21"/>
  <c r="AD11" i="21"/>
  <c r="AD55" i="21"/>
  <c r="AD48" i="21"/>
  <c r="AD71" i="21"/>
  <c r="AD92" i="21"/>
  <c r="AD12" i="21"/>
  <c r="AD90" i="21"/>
  <c r="AD128" i="21"/>
  <c r="AD195" i="21"/>
  <c r="AD146" i="21"/>
  <c r="AD23" i="21"/>
  <c r="AD194" i="21"/>
  <c r="AD189" i="21"/>
  <c r="AD21" i="21"/>
  <c r="AD97" i="21"/>
  <c r="AD147" i="21"/>
  <c r="AD167" i="21"/>
  <c r="AD196" i="21"/>
  <c r="AD24" i="21"/>
  <c r="AD148" i="21"/>
  <c r="AD10" i="21"/>
  <c r="AD106" i="21"/>
  <c r="AD158" i="21"/>
  <c r="AD63" i="21"/>
  <c r="AD115" i="21"/>
  <c r="AD198" i="21"/>
  <c r="AD33" i="21"/>
  <c r="AD163" i="21"/>
  <c r="F15" i="20"/>
  <c r="E16" i="20"/>
  <c r="N96" i="25"/>
  <c r="AI96" i="25"/>
  <c r="N73" i="25"/>
  <c r="AI73" i="25"/>
  <c r="AD85" i="21"/>
  <c r="AD22" i="21"/>
  <c r="AD14" i="21"/>
  <c r="AD94" i="21"/>
  <c r="AD99" i="21"/>
  <c r="AD191" i="21"/>
  <c r="AD64" i="21"/>
  <c r="AD80" i="21"/>
  <c r="AD104" i="21"/>
  <c r="AD127" i="21"/>
  <c r="AD202" i="21"/>
  <c r="AD135" i="21"/>
  <c r="AD16" i="21"/>
  <c r="AD26" i="21"/>
  <c r="AD50" i="21"/>
  <c r="AD70" i="21"/>
  <c r="AD98" i="21"/>
  <c r="AD162" i="21"/>
  <c r="AD172" i="21"/>
  <c r="AD169" i="21"/>
  <c r="AD154" i="21"/>
  <c r="AD179" i="21"/>
  <c r="AD44" i="21"/>
  <c r="AD116" i="21"/>
  <c r="AD205" i="21"/>
  <c r="AD108" i="21"/>
  <c r="AD124" i="21"/>
  <c r="AD136" i="21"/>
  <c r="AD150" i="21"/>
  <c r="AD168" i="21"/>
  <c r="AD206" i="21"/>
  <c r="AD133" i="21"/>
  <c r="AD31" i="21"/>
  <c r="AD69" i="21"/>
  <c r="AD111" i="21"/>
  <c r="AD171" i="21"/>
  <c r="AD204" i="21"/>
  <c r="AD143" i="21"/>
  <c r="AD193" i="21"/>
  <c r="AD157" i="21"/>
  <c r="AD180" i="21"/>
  <c r="AD208" i="21"/>
  <c r="AD95" i="21"/>
  <c r="AD13" i="21"/>
  <c r="AD25" i="21"/>
  <c r="AD35" i="21"/>
  <c r="AD49" i="21"/>
  <c r="AD57" i="21"/>
  <c r="AD103" i="21"/>
  <c r="AD177" i="21"/>
  <c r="R15" i="20"/>
  <c r="Q16" i="20"/>
  <c r="C15" i="20"/>
  <c r="B16" i="20"/>
  <c r="AE8" i="21"/>
  <c r="AE209" i="21"/>
  <c r="AE63" i="21"/>
  <c r="AE35" i="21"/>
  <c r="AE23" i="21"/>
  <c r="AE207" i="21"/>
  <c r="AE107" i="21"/>
  <c r="AE193" i="21"/>
  <c r="AE69" i="21"/>
  <c r="AE41" i="21"/>
  <c r="AE133" i="21"/>
  <c r="AE190" i="21"/>
  <c r="AE151" i="21"/>
  <c r="AE67" i="21"/>
  <c r="AE21" i="21"/>
  <c r="AE149" i="21"/>
  <c r="AE59" i="21"/>
  <c r="AE148" i="21"/>
  <c r="AE146" i="21"/>
  <c r="AE122" i="21"/>
  <c r="AE116" i="21"/>
  <c r="AE106" i="21"/>
  <c r="AE183" i="21"/>
  <c r="AE175" i="21"/>
  <c r="AE127" i="21"/>
  <c r="AE158" i="21"/>
  <c r="AE144" i="21"/>
  <c r="AE94" i="21"/>
  <c r="AE88" i="21"/>
  <c r="AE80" i="21"/>
  <c r="AE78" i="21"/>
  <c r="AE68" i="21"/>
  <c r="AE64" i="21"/>
  <c r="AE54" i="21"/>
  <c r="AE50" i="21"/>
  <c r="AE38" i="21"/>
  <c r="AE34" i="21"/>
  <c r="AE185" i="21"/>
  <c r="AE173" i="21"/>
  <c r="AE99" i="21"/>
  <c r="AE79" i="21"/>
  <c r="AE164" i="21"/>
  <c r="AE152" i="21"/>
  <c r="AE171" i="21"/>
  <c r="AE145" i="21"/>
  <c r="AE91" i="21"/>
  <c r="AE77" i="21"/>
  <c r="AE201" i="21"/>
  <c r="AE168" i="21"/>
  <c r="AE160" i="21"/>
  <c r="AE140" i="21"/>
  <c r="AE134" i="21"/>
  <c r="AE124" i="21"/>
  <c r="AE118" i="21"/>
  <c r="AE208" i="21"/>
  <c r="AE192" i="21"/>
  <c r="AE191" i="21"/>
  <c r="AE159" i="21"/>
  <c r="AE147" i="21"/>
  <c r="AE123" i="21"/>
  <c r="AE93" i="21"/>
  <c r="AE61" i="21"/>
  <c r="AE204" i="21"/>
  <c r="AE162" i="21"/>
  <c r="AE128" i="21"/>
  <c r="AE102" i="21"/>
  <c r="AE76" i="21"/>
  <c r="AE153" i="21"/>
  <c r="AE101" i="21"/>
  <c r="AE156" i="21"/>
  <c r="AE150" i="21"/>
  <c r="AE120" i="21"/>
  <c r="AE108" i="21"/>
  <c r="AE98" i="21"/>
  <c r="AE92" i="21"/>
  <c r="AE82" i="21"/>
  <c r="AE74" i="21"/>
  <c r="AE66" i="21"/>
  <c r="AE44" i="21"/>
  <c r="AE42" i="21"/>
  <c r="AE30" i="21"/>
  <c r="AE14" i="21"/>
  <c r="AE12" i="21"/>
  <c r="AE199" i="21"/>
  <c r="AE113" i="21"/>
  <c r="AE85" i="21"/>
  <c r="AE71" i="21"/>
  <c r="AE188" i="21"/>
  <c r="AE170" i="21"/>
  <c r="AE142" i="21"/>
  <c r="AE20" i="21"/>
  <c r="AE24" i="21"/>
  <c r="AE205" i="21"/>
  <c r="AE52" i="21"/>
  <c r="AE36" i="21"/>
  <c r="AE28" i="21"/>
  <c r="AE60" i="21"/>
  <c r="AE32" i="21"/>
  <c r="AE16" i="21"/>
  <c r="CM15" i="20"/>
  <c r="CN14" i="20"/>
  <c r="AC4" i="21"/>
  <c r="AC3" i="21"/>
  <c r="U17" i="20"/>
  <c r="V16" i="20"/>
  <c r="AD113" i="21"/>
  <c r="AD61" i="21"/>
  <c r="AD30" i="21"/>
  <c r="AD114" i="21"/>
  <c r="AD141" i="21"/>
  <c r="AD46" i="21"/>
  <c r="AD68" i="21"/>
  <c r="AD84" i="21"/>
  <c r="AD122" i="21"/>
  <c r="AD65" i="21"/>
  <c r="AD197" i="21"/>
  <c r="AD159" i="21"/>
  <c r="AD18" i="21"/>
  <c r="AD28" i="21"/>
  <c r="AD52" i="21"/>
  <c r="AD72" i="21"/>
  <c r="AD100" i="21"/>
  <c r="AD164" i="21"/>
  <c r="AD174" i="21"/>
  <c r="AD86" i="21"/>
  <c r="AD41" i="21"/>
  <c r="AD201" i="21"/>
  <c r="AD56" i="21"/>
  <c r="AD138" i="21"/>
  <c r="AD209" i="21"/>
  <c r="AD110" i="21"/>
  <c r="AD126" i="21"/>
  <c r="AD140" i="21"/>
  <c r="AD152" i="21"/>
  <c r="AD184" i="21"/>
  <c r="AD101" i="21"/>
  <c r="AD181" i="21"/>
  <c r="AD37" i="21"/>
  <c r="AD75" i="21"/>
  <c r="AD131" i="21"/>
  <c r="AD185" i="21"/>
  <c r="AD210" i="21"/>
  <c r="AD153" i="21"/>
  <c r="AD77" i="21"/>
  <c r="AD165" i="21"/>
  <c r="AD182" i="21"/>
  <c r="AD59" i="21"/>
  <c r="AD149" i="21"/>
  <c r="AD17" i="21"/>
  <c r="AD27" i="21"/>
  <c r="AD39" i="21"/>
  <c r="AD51" i="21"/>
  <c r="AD67" i="21"/>
  <c r="AD119" i="21"/>
  <c r="AD183" i="21"/>
  <c r="J15" i="20"/>
  <c r="I16" i="20"/>
  <c r="N119" i="25"/>
  <c r="AI119" i="25"/>
  <c r="AD123" i="21"/>
  <c r="AD129" i="21"/>
  <c r="AD105" i="21"/>
  <c r="AD36" i="21"/>
  <c r="AD160" i="21"/>
  <c r="AD155" i="21"/>
  <c r="AD58" i="21"/>
  <c r="AD74" i="21"/>
  <c r="AD88" i="21"/>
  <c r="AD176" i="21"/>
  <c r="AD125" i="21"/>
  <c r="AD79" i="21"/>
  <c r="AD173" i="21"/>
  <c r="AD20" i="21"/>
  <c r="AD32" i="21"/>
  <c r="AD54" i="21"/>
  <c r="AD76" i="21"/>
  <c r="AD132" i="21"/>
  <c r="AD166" i="21"/>
  <c r="AD178" i="21"/>
  <c r="AD112" i="21"/>
  <c r="AD137" i="21"/>
  <c r="AD38" i="21"/>
  <c r="AD66" i="21"/>
  <c r="AD142" i="21"/>
  <c r="AD102" i="21"/>
  <c r="AD118" i="21"/>
  <c r="AD130" i="21"/>
  <c r="AD144" i="21"/>
  <c r="AD156" i="21"/>
  <c r="AD190" i="21"/>
  <c r="AD107" i="21"/>
  <c r="AD15" i="21"/>
  <c r="AD43" i="21"/>
  <c r="AD91" i="21"/>
  <c r="AD145" i="21"/>
  <c r="AD188" i="21"/>
  <c r="AD87" i="21"/>
  <c r="AD175" i="21"/>
  <c r="AD89" i="21"/>
  <c r="AD187" i="21"/>
  <c r="AD192" i="21"/>
  <c r="AD73" i="21"/>
  <c r="AD161" i="21"/>
  <c r="AD19" i="21"/>
  <c r="AD29" i="21"/>
  <c r="AD45" i="21"/>
  <c r="AD53" i="21"/>
  <c r="AD83" i="21"/>
  <c r="AD139" i="21"/>
  <c r="B27" i="25"/>
  <c r="N27" i="25"/>
  <c r="AI27" i="25"/>
  <c r="N50" i="25"/>
  <c r="AI50" i="25"/>
  <c r="Q35" i="20"/>
  <c r="R35" i="20"/>
  <c r="M18" i="20"/>
  <c r="M37" i="20"/>
  <c r="I37" i="20"/>
  <c r="J37" i="20"/>
  <c r="E36" i="20"/>
  <c r="F36" i="20"/>
  <c r="B36" i="20"/>
  <c r="C36" i="20"/>
  <c r="AR37" i="20"/>
  <c r="AS36" i="20"/>
  <c r="AP36" i="20"/>
  <c r="AO37" i="20"/>
  <c r="AP15" i="20"/>
  <c r="AO16" i="20"/>
  <c r="AX22" i="6"/>
  <c r="AX21" i="6"/>
  <c r="AX20" i="6"/>
  <c r="AX19" i="6"/>
  <c r="AX18" i="6"/>
  <c r="AX17" i="6"/>
  <c r="AX16" i="6"/>
  <c r="AE96" i="21"/>
  <c r="AE179" i="21"/>
  <c r="AE135" i="21"/>
  <c r="AE126" i="21"/>
  <c r="AE10" i="21"/>
  <c r="AE141" i="21"/>
  <c r="AE22" i="21"/>
  <c r="AE58" i="21"/>
  <c r="AE90" i="21"/>
  <c r="AE110" i="21"/>
  <c r="AE198" i="21"/>
  <c r="AE100" i="21"/>
  <c r="AE166" i="21"/>
  <c r="AE105" i="21"/>
  <c r="AE167" i="21"/>
  <c r="AE40" i="21"/>
  <c r="AE136" i="21"/>
  <c r="AE182" i="21"/>
  <c r="AE139" i="21"/>
  <c r="AE132" i="21"/>
  <c r="AE174" i="21"/>
  <c r="AE155" i="21"/>
  <c r="AE26" i="21"/>
  <c r="AE48" i="21"/>
  <c r="AE62" i="21"/>
  <c r="AE72" i="21"/>
  <c r="AE86" i="21"/>
  <c r="AE104" i="21"/>
  <c r="AE180" i="21"/>
  <c r="AE157" i="21"/>
  <c r="AE114" i="21"/>
  <c r="AE138" i="21"/>
  <c r="AE186" i="21"/>
  <c r="AE81" i="21"/>
  <c r="AE200" i="21"/>
  <c r="AE39" i="21"/>
  <c r="AE89" i="21"/>
  <c r="AE197" i="21"/>
  <c r="AE95" i="21"/>
  <c r="AE161" i="21"/>
  <c r="AE53" i="21"/>
  <c r="AE137" i="21"/>
  <c r="AE194" i="21"/>
  <c r="AE169" i="21"/>
  <c r="AE15" i="21"/>
  <c r="AE27" i="21"/>
  <c r="AE47" i="21"/>
  <c r="AE111" i="21"/>
  <c r="AE202" i="21"/>
  <c r="AE87" i="21"/>
  <c r="AE13" i="21"/>
  <c r="AE57" i="21"/>
  <c r="AE103" i="21"/>
  <c r="AE196" i="21"/>
  <c r="AE115" i="21"/>
  <c r="AE189" i="21"/>
  <c r="AE65" i="21"/>
  <c r="AE163" i="21"/>
  <c r="AE210" i="21"/>
  <c r="AE181" i="21"/>
  <c r="AE17" i="21"/>
  <c r="AE33" i="21"/>
  <c r="AE51" i="21"/>
  <c r="AE131" i="21"/>
  <c r="AE203" i="21"/>
  <c r="AE172" i="21"/>
  <c r="AE129" i="21"/>
  <c r="AE18" i="21"/>
  <c r="AE46" i="21"/>
  <c r="AE56" i="21"/>
  <c r="AE70" i="21"/>
  <c r="AE84" i="21"/>
  <c r="AE176" i="21"/>
  <c r="AE117" i="21"/>
  <c r="AE112" i="21"/>
  <c r="AE130" i="21"/>
  <c r="AE154" i="21"/>
  <c r="AE73" i="21"/>
  <c r="AE195" i="21"/>
  <c r="AE29" i="21"/>
  <c r="AE83" i="21"/>
  <c r="AE177" i="21"/>
  <c r="AE206" i="21"/>
  <c r="AE143" i="21"/>
  <c r="AE43" i="21"/>
  <c r="AE125" i="21"/>
  <c r="AE178" i="21"/>
  <c r="AE121" i="21"/>
  <c r="AE11" i="21"/>
  <c r="AE25" i="21"/>
  <c r="AE37" i="21"/>
  <c r="AE97" i="21"/>
  <c r="AE184" i="21"/>
  <c r="AE19" i="21"/>
  <c r="AE31" i="21"/>
  <c r="AE45" i="21"/>
  <c r="AE55" i="21"/>
  <c r="AE109" i="21"/>
  <c r="AE165" i="21"/>
  <c r="AE187" i="21"/>
  <c r="AD3" i="21"/>
  <c r="AE49" i="21"/>
  <c r="AE75" i="21"/>
  <c r="AE119" i="21"/>
  <c r="N120" i="25"/>
  <c r="AI120" i="25"/>
  <c r="N74" i="25"/>
  <c r="AI74" i="25"/>
  <c r="U18" i="20"/>
  <c r="V17" i="20"/>
  <c r="CM16" i="20"/>
  <c r="CN15" i="20"/>
  <c r="R16" i="20"/>
  <c r="Q17" i="20"/>
  <c r="F16" i="20"/>
  <c r="E17" i="20"/>
  <c r="J16" i="20"/>
  <c r="I17" i="20"/>
  <c r="C16" i="20"/>
  <c r="B17" i="20"/>
  <c r="N97" i="25"/>
  <c r="AI97" i="25"/>
  <c r="AD4" i="21"/>
  <c r="AE3" i="21"/>
  <c r="N51" i="25"/>
  <c r="AI51" i="25"/>
  <c r="B28" i="25"/>
  <c r="N28" i="25"/>
  <c r="AI28" i="25"/>
  <c r="Q36" i="20"/>
  <c r="R36" i="20"/>
  <c r="M38" i="20"/>
  <c r="M19" i="20"/>
  <c r="I38" i="20"/>
  <c r="J38" i="20"/>
  <c r="E37" i="20"/>
  <c r="F37" i="20"/>
  <c r="B37" i="20"/>
  <c r="C37" i="20"/>
  <c r="AR38" i="20"/>
  <c r="AS37" i="20"/>
  <c r="AP37" i="20"/>
  <c r="AO38" i="20"/>
  <c r="AP16" i="20"/>
  <c r="AO17" i="20"/>
  <c r="AC15" i="6"/>
  <c r="AM15" i="6"/>
  <c r="AM50" i="6"/>
  <c r="AT50" i="6"/>
  <c r="M14" i="6"/>
  <c r="S16" i="6"/>
  <c r="S17" i="6"/>
  <c r="AC17" i="6"/>
  <c r="AM17" i="6"/>
  <c r="AM52" i="6"/>
  <c r="AT52" i="6"/>
  <c r="BT178" i="6"/>
  <c r="BT179" i="6"/>
  <c r="BT180" i="6"/>
  <c r="BT160" i="6"/>
  <c r="BT161" i="6"/>
  <c r="BT162" i="6"/>
  <c r="BT163" i="6"/>
  <c r="BT164" i="6"/>
  <c r="BT165" i="6"/>
  <c r="BT166" i="6"/>
  <c r="BT167" i="6"/>
  <c r="BT168" i="6"/>
  <c r="BT169" i="6"/>
  <c r="BT170" i="6"/>
  <c r="BT171" i="6"/>
  <c r="BT172" i="6"/>
  <c r="BT173" i="6"/>
  <c r="BT174" i="6"/>
  <c r="BT175" i="6"/>
  <c r="BT176" i="6"/>
  <c r="BT177" i="6"/>
  <c r="BT159" i="6"/>
  <c r="BT157" i="6"/>
  <c r="BT158" i="6"/>
  <c r="BT136" i="6"/>
  <c r="BT137" i="6"/>
  <c r="BT138" i="6"/>
  <c r="BT139" i="6"/>
  <c r="BT140" i="6"/>
  <c r="BT141" i="6"/>
  <c r="BT142" i="6"/>
  <c r="BT143" i="6"/>
  <c r="BT144" i="6"/>
  <c r="BT145" i="6"/>
  <c r="BT146" i="6"/>
  <c r="BT147" i="6"/>
  <c r="BT148" i="6"/>
  <c r="BT149" i="6"/>
  <c r="BT150" i="6"/>
  <c r="BT151" i="6"/>
  <c r="BT152" i="6"/>
  <c r="BT153" i="6"/>
  <c r="BT154" i="6"/>
  <c r="BT155" i="6"/>
  <c r="BT156" i="6"/>
  <c r="BT135" i="6"/>
  <c r="BT112" i="6"/>
  <c r="BT113" i="6"/>
  <c r="BT114" i="6"/>
  <c r="BT115" i="6"/>
  <c r="BT116" i="6"/>
  <c r="BT117" i="6"/>
  <c r="BT118" i="6"/>
  <c r="BT119" i="6"/>
  <c r="BT120" i="6"/>
  <c r="BT121" i="6"/>
  <c r="BT122" i="6"/>
  <c r="BT123" i="6"/>
  <c r="BT124" i="6"/>
  <c r="BT125" i="6"/>
  <c r="BT126" i="6"/>
  <c r="BT127" i="6"/>
  <c r="BT128" i="6"/>
  <c r="BT129" i="6"/>
  <c r="BT130" i="6"/>
  <c r="BT131" i="6"/>
  <c r="BT132" i="6"/>
  <c r="BT133" i="6"/>
  <c r="BT134" i="6"/>
  <c r="BT111" i="6"/>
  <c r="BT88" i="6"/>
  <c r="BT89" i="6"/>
  <c r="BT90" i="6"/>
  <c r="BT91" i="6"/>
  <c r="BT92" i="6"/>
  <c r="BT93" i="6"/>
  <c r="BT94" i="6"/>
  <c r="BT95" i="6"/>
  <c r="BT96" i="6"/>
  <c r="BT97" i="6"/>
  <c r="BT98" i="6"/>
  <c r="BT99" i="6"/>
  <c r="BT100" i="6"/>
  <c r="BT101" i="6"/>
  <c r="BT102" i="6"/>
  <c r="BT103" i="6"/>
  <c r="BT104" i="6"/>
  <c r="BT105" i="6"/>
  <c r="BT106" i="6"/>
  <c r="BT107" i="6"/>
  <c r="BT108" i="6"/>
  <c r="BT109" i="6"/>
  <c r="BT110" i="6"/>
  <c r="BT87" i="6"/>
  <c r="BT64" i="6"/>
  <c r="BT65" i="6"/>
  <c r="BT66" i="6"/>
  <c r="BT67" i="6"/>
  <c r="BT68" i="6"/>
  <c r="BT69" i="6"/>
  <c r="BT70" i="6"/>
  <c r="BT71" i="6"/>
  <c r="BT72" i="6"/>
  <c r="BT73" i="6"/>
  <c r="BT74" i="6"/>
  <c r="BT75" i="6"/>
  <c r="BT76" i="6"/>
  <c r="BT77" i="6"/>
  <c r="BT78" i="6"/>
  <c r="BT79" i="6"/>
  <c r="BT80" i="6"/>
  <c r="BT81" i="6"/>
  <c r="BT82" i="6"/>
  <c r="BT83" i="6"/>
  <c r="BT84" i="6"/>
  <c r="BT85" i="6"/>
  <c r="BT86" i="6"/>
  <c r="BT63" i="6"/>
  <c r="BT62" i="6"/>
  <c r="BT40" i="6"/>
  <c r="BT41" i="6"/>
  <c r="BT42" i="6"/>
  <c r="BT43" i="6"/>
  <c r="BT44" i="6"/>
  <c r="BT45" i="6"/>
  <c r="BT46" i="6"/>
  <c r="BT47" i="6"/>
  <c r="BT48" i="6"/>
  <c r="BT49" i="6"/>
  <c r="BT50" i="6"/>
  <c r="BT51" i="6"/>
  <c r="BT52" i="6"/>
  <c r="BT53" i="6"/>
  <c r="BT54" i="6"/>
  <c r="BT55" i="6"/>
  <c r="BT56" i="6"/>
  <c r="BT57" i="6"/>
  <c r="BT58" i="6"/>
  <c r="BT59" i="6"/>
  <c r="BT60" i="6"/>
  <c r="BT61" i="6"/>
  <c r="BT39" i="6"/>
  <c r="BT16" i="6"/>
  <c r="BT17" i="6"/>
  <c r="BT18" i="6"/>
  <c r="BT19" i="6"/>
  <c r="BT20" i="6"/>
  <c r="BT21" i="6"/>
  <c r="BT22" i="6"/>
  <c r="BT23" i="6"/>
  <c r="BT24" i="6"/>
  <c r="BT25" i="6"/>
  <c r="BT26" i="6"/>
  <c r="BT27" i="6"/>
  <c r="BT28" i="6"/>
  <c r="BT29" i="6"/>
  <c r="BT30" i="6"/>
  <c r="BT31" i="6"/>
  <c r="BT32" i="6"/>
  <c r="BT33" i="6"/>
  <c r="BT34" i="6"/>
  <c r="BT35" i="6"/>
  <c r="BT36" i="6"/>
  <c r="BT37" i="6"/>
  <c r="BT38" i="6"/>
  <c r="BT15" i="6"/>
  <c r="BS15" i="6"/>
  <c r="BS39" i="6"/>
  <c r="BS63" i="6"/>
  <c r="BS87" i="6"/>
  <c r="BS111" i="6"/>
  <c r="BS135" i="6"/>
  <c r="BS159" i="6"/>
  <c r="AE4" i="21"/>
  <c r="C17" i="20"/>
  <c r="B18" i="20"/>
  <c r="J17" i="20"/>
  <c r="I18" i="20"/>
  <c r="R17" i="20"/>
  <c r="Q18" i="20"/>
  <c r="N98" i="25"/>
  <c r="AI98" i="25"/>
  <c r="N75" i="25"/>
  <c r="AI75" i="25"/>
  <c r="F17" i="20"/>
  <c r="E18" i="20"/>
  <c r="U19" i="20"/>
  <c r="V18" i="20"/>
  <c r="N121" i="25"/>
  <c r="AI121" i="25"/>
  <c r="CN16" i="20"/>
  <c r="CM17" i="20"/>
  <c r="N52" i="25"/>
  <c r="AI52" i="25"/>
  <c r="B29" i="25"/>
  <c r="N29" i="25"/>
  <c r="AI29" i="25"/>
  <c r="Q37" i="20"/>
  <c r="R37" i="20"/>
  <c r="M39" i="20"/>
  <c r="M20" i="20"/>
  <c r="I39" i="20"/>
  <c r="J39" i="20"/>
  <c r="E38" i="20"/>
  <c r="F38" i="20"/>
  <c r="B38" i="20"/>
  <c r="C38" i="20"/>
  <c r="AR39" i="20"/>
  <c r="AS38" i="20"/>
  <c r="AP38" i="20"/>
  <c r="AO39" i="20"/>
  <c r="AP17" i="20"/>
  <c r="AO18" i="20"/>
  <c r="AC16" i="6"/>
  <c r="AM16" i="6"/>
  <c r="AM51" i="6"/>
  <c r="AT51" i="6"/>
  <c r="BS16" i="6"/>
  <c r="BS40" i="6"/>
  <c r="BS64" i="6"/>
  <c r="BS88" i="6"/>
  <c r="BS112" i="6"/>
  <c r="BS136" i="6"/>
  <c r="BS160" i="6"/>
  <c r="S18" i="6"/>
  <c r="BS17" i="6"/>
  <c r="BS41" i="6"/>
  <c r="BS65" i="6"/>
  <c r="BS89" i="6"/>
  <c r="BS113" i="6"/>
  <c r="BS137" i="6"/>
  <c r="BS161" i="6"/>
  <c r="N76" i="25"/>
  <c r="AI76" i="25"/>
  <c r="N122" i="25"/>
  <c r="AI122" i="25"/>
  <c r="CN17" i="20"/>
  <c r="CM18" i="20"/>
  <c r="U20" i="20"/>
  <c r="V19" i="20"/>
  <c r="R18" i="20"/>
  <c r="Q19" i="20"/>
  <c r="C18" i="20"/>
  <c r="B19" i="20"/>
  <c r="N99" i="25"/>
  <c r="AI99" i="25"/>
  <c r="F18" i="20"/>
  <c r="E19" i="20"/>
  <c r="J18" i="20"/>
  <c r="I19" i="20"/>
  <c r="N53" i="25"/>
  <c r="AI53" i="25"/>
  <c r="B30" i="25"/>
  <c r="N30" i="25"/>
  <c r="AI30" i="25"/>
  <c r="Q38" i="20"/>
  <c r="R38" i="20"/>
  <c r="M21" i="20"/>
  <c r="M40" i="20"/>
  <c r="I40" i="20"/>
  <c r="J40" i="20"/>
  <c r="E39" i="20"/>
  <c r="F39" i="20"/>
  <c r="B39" i="20"/>
  <c r="C39" i="20"/>
  <c r="AR40" i="20"/>
  <c r="AS39" i="20"/>
  <c r="AP39" i="20"/>
  <c r="AO40" i="20"/>
  <c r="AO19" i="20"/>
  <c r="AP18" i="20"/>
  <c r="BS18" i="6"/>
  <c r="BS42" i="6"/>
  <c r="BS66" i="6"/>
  <c r="BS90" i="6"/>
  <c r="BS114" i="6"/>
  <c r="BS138" i="6"/>
  <c r="BS162" i="6"/>
  <c r="AC18" i="6"/>
  <c r="AM18" i="6"/>
  <c r="AM53" i="6"/>
  <c r="AT53" i="6"/>
  <c r="S19" i="6"/>
  <c r="AC19" i="6"/>
  <c r="AM19" i="6"/>
  <c r="AM54" i="6"/>
  <c r="AT54" i="6"/>
  <c r="J109" i="12"/>
  <c r="H109" i="12"/>
  <c r="J108" i="12"/>
  <c r="H108" i="12"/>
  <c r="J107" i="12"/>
  <c r="H107" i="12"/>
  <c r="J106" i="12"/>
  <c r="H106" i="12"/>
  <c r="J105" i="12"/>
  <c r="H105" i="12"/>
  <c r="J104" i="12"/>
  <c r="H104" i="12"/>
  <c r="J103" i="12"/>
  <c r="H103" i="12"/>
  <c r="J102" i="12"/>
  <c r="H102" i="12"/>
  <c r="J101" i="12"/>
  <c r="H101" i="12"/>
  <c r="J100" i="12"/>
  <c r="H100" i="12"/>
  <c r="J99" i="12"/>
  <c r="H99" i="12"/>
  <c r="J98" i="12"/>
  <c r="H98" i="12"/>
  <c r="J97" i="12"/>
  <c r="H97" i="12"/>
  <c r="J96" i="12"/>
  <c r="H96" i="12"/>
  <c r="J95" i="12"/>
  <c r="H95" i="12"/>
  <c r="J94" i="12"/>
  <c r="H94" i="12"/>
  <c r="J93" i="12"/>
  <c r="H93" i="12"/>
  <c r="J92" i="12"/>
  <c r="H92" i="12"/>
  <c r="J91" i="12"/>
  <c r="H91" i="12"/>
  <c r="J90" i="12"/>
  <c r="H90" i="12"/>
  <c r="J89" i="12"/>
  <c r="H89" i="12"/>
  <c r="J88" i="12"/>
  <c r="H88" i="12"/>
  <c r="J87" i="12"/>
  <c r="H87" i="12"/>
  <c r="J86" i="12"/>
  <c r="H86" i="12"/>
  <c r="J85" i="12"/>
  <c r="H85" i="12"/>
  <c r="J84" i="12"/>
  <c r="H84" i="12"/>
  <c r="J83" i="12"/>
  <c r="H83" i="12"/>
  <c r="J82" i="12"/>
  <c r="H82" i="12"/>
  <c r="J81" i="12"/>
  <c r="H81" i="12"/>
  <c r="J80" i="12"/>
  <c r="H80" i="12"/>
  <c r="J79" i="12"/>
  <c r="H79" i="12"/>
  <c r="J78" i="12"/>
  <c r="H78" i="12"/>
  <c r="J77" i="12"/>
  <c r="H77" i="12"/>
  <c r="J76" i="12"/>
  <c r="H76" i="12"/>
  <c r="J75" i="12"/>
  <c r="H75" i="12"/>
  <c r="J74" i="12"/>
  <c r="H74" i="12"/>
  <c r="J73" i="12"/>
  <c r="H73" i="12"/>
  <c r="J72" i="12"/>
  <c r="H72" i="12"/>
  <c r="J71" i="12"/>
  <c r="H71" i="12"/>
  <c r="J70" i="12"/>
  <c r="H70" i="12"/>
  <c r="J69" i="12"/>
  <c r="H69" i="12"/>
  <c r="J68" i="12"/>
  <c r="H68" i="12"/>
  <c r="J67" i="12"/>
  <c r="H67" i="12"/>
  <c r="J66" i="12"/>
  <c r="H66" i="12"/>
  <c r="J65" i="12"/>
  <c r="H65" i="12"/>
  <c r="J64" i="12"/>
  <c r="H64" i="12"/>
  <c r="J63" i="12"/>
  <c r="H63" i="12"/>
  <c r="J62" i="12"/>
  <c r="H62" i="12"/>
  <c r="J61" i="12"/>
  <c r="H61" i="12"/>
  <c r="J60" i="12"/>
  <c r="H60" i="12"/>
  <c r="J59" i="12"/>
  <c r="H59" i="12"/>
  <c r="J58" i="12"/>
  <c r="H58" i="12"/>
  <c r="J57" i="12"/>
  <c r="H57" i="12"/>
  <c r="J56" i="12"/>
  <c r="H56" i="12"/>
  <c r="J55" i="12"/>
  <c r="H55" i="12"/>
  <c r="J54" i="12"/>
  <c r="H54" i="12"/>
  <c r="J53" i="12"/>
  <c r="H53" i="12"/>
  <c r="J52" i="12"/>
  <c r="H52" i="12"/>
  <c r="J51" i="12"/>
  <c r="H51" i="12"/>
  <c r="J50" i="12"/>
  <c r="H50" i="12"/>
  <c r="J49" i="12"/>
  <c r="H49" i="12"/>
  <c r="J48" i="12"/>
  <c r="H48" i="12"/>
  <c r="J47" i="12"/>
  <c r="H47" i="12"/>
  <c r="J46" i="12"/>
  <c r="H46" i="12"/>
  <c r="J45" i="12"/>
  <c r="H45" i="12"/>
  <c r="J44" i="12"/>
  <c r="H44" i="12"/>
  <c r="J43" i="12"/>
  <c r="H43" i="12"/>
  <c r="J42" i="12"/>
  <c r="H42" i="12"/>
  <c r="J41" i="12"/>
  <c r="H41" i="12"/>
  <c r="J40" i="12"/>
  <c r="H40" i="12"/>
  <c r="J39" i="12"/>
  <c r="H39" i="12"/>
  <c r="J38" i="12"/>
  <c r="H38" i="12"/>
  <c r="J37" i="12"/>
  <c r="H37" i="12"/>
  <c r="J36" i="12"/>
  <c r="H36" i="12"/>
  <c r="J35" i="12"/>
  <c r="H35" i="12"/>
  <c r="J34" i="12"/>
  <c r="H34" i="12"/>
  <c r="J33" i="12"/>
  <c r="H33" i="12"/>
  <c r="J32" i="12"/>
  <c r="H32" i="12"/>
  <c r="J31" i="12"/>
  <c r="H31" i="12"/>
  <c r="J30" i="12"/>
  <c r="H30" i="12"/>
  <c r="J29" i="12"/>
  <c r="H29" i="12"/>
  <c r="J28" i="12"/>
  <c r="H28" i="12"/>
  <c r="J27" i="12"/>
  <c r="H27" i="12"/>
  <c r="J26" i="12"/>
  <c r="H26" i="12"/>
  <c r="J25" i="12"/>
  <c r="H25" i="12"/>
  <c r="J24" i="12"/>
  <c r="H24" i="12"/>
  <c r="J23" i="12"/>
  <c r="H23" i="12"/>
  <c r="J22" i="12"/>
  <c r="H22" i="12"/>
  <c r="J21" i="12"/>
  <c r="H21" i="12"/>
  <c r="J20" i="12"/>
  <c r="H20" i="12"/>
  <c r="J19" i="12"/>
  <c r="H19" i="12"/>
  <c r="J18" i="12"/>
  <c r="H18" i="12"/>
  <c r="J17" i="12"/>
  <c r="H17" i="12"/>
  <c r="J16" i="12"/>
  <c r="H16" i="12"/>
  <c r="J15" i="12"/>
  <c r="H15" i="12"/>
  <c r="J14" i="12"/>
  <c r="H14" i="12"/>
  <c r="J13" i="12"/>
  <c r="H13" i="12"/>
  <c r="J12" i="12"/>
  <c r="H12" i="12"/>
  <c r="J11" i="12"/>
  <c r="H11" i="12"/>
  <c r="J10" i="12"/>
  <c r="H10" i="12"/>
  <c r="J9" i="12"/>
  <c r="H9" i="12"/>
  <c r="J8" i="12"/>
  <c r="H8" i="12"/>
  <c r="J7" i="12"/>
  <c r="H7" i="12"/>
  <c r="M5" i="12"/>
  <c r="M8" i="12"/>
  <c r="M7" i="12"/>
  <c r="H5" i="12"/>
  <c r="R19" i="20"/>
  <c r="Q20" i="20"/>
  <c r="J5" i="12"/>
  <c r="M6" i="12"/>
  <c r="J19" i="20"/>
  <c r="I20" i="20"/>
  <c r="N77" i="25"/>
  <c r="AI77" i="25"/>
  <c r="C19" i="20"/>
  <c r="B20" i="20"/>
  <c r="N123" i="25"/>
  <c r="AI123" i="25"/>
  <c r="CM19" i="20"/>
  <c r="CN18" i="20"/>
  <c r="F19" i="20"/>
  <c r="E20" i="20"/>
  <c r="U21" i="20"/>
  <c r="V20" i="20"/>
  <c r="N100" i="25"/>
  <c r="AI100" i="25"/>
  <c r="B31" i="25"/>
  <c r="N31" i="25"/>
  <c r="AI31" i="25"/>
  <c r="N54" i="25"/>
  <c r="AI54" i="25"/>
  <c r="Q39" i="20"/>
  <c r="R39" i="20"/>
  <c r="M41" i="20"/>
  <c r="M22" i="20"/>
  <c r="I41" i="20"/>
  <c r="J41" i="20"/>
  <c r="E40" i="20"/>
  <c r="F40" i="20"/>
  <c r="B40" i="20"/>
  <c r="C40" i="20"/>
  <c r="AR41" i="20"/>
  <c r="AS40" i="20"/>
  <c r="AP40" i="20"/>
  <c r="AO41" i="20"/>
  <c r="AP19" i="20"/>
  <c r="AO20" i="20"/>
  <c r="S20" i="6"/>
  <c r="AC20" i="6"/>
  <c r="AM20" i="6"/>
  <c r="AM55" i="6"/>
  <c r="AT55" i="6"/>
  <c r="BS19" i="6"/>
  <c r="BS43" i="6"/>
  <c r="BS67" i="6"/>
  <c r="BS91" i="6"/>
  <c r="BS115" i="6"/>
  <c r="BS139" i="6"/>
  <c r="BS163" i="6"/>
  <c r="M9" i="12"/>
  <c r="N124" i="25"/>
  <c r="AI124" i="25"/>
  <c r="CN19" i="20"/>
  <c r="CM20" i="20"/>
  <c r="N78" i="25"/>
  <c r="AI78" i="25"/>
  <c r="C20" i="20"/>
  <c r="B21" i="20"/>
  <c r="J20" i="20"/>
  <c r="I21" i="20"/>
  <c r="F20" i="20"/>
  <c r="E21" i="20"/>
  <c r="R20" i="20"/>
  <c r="Q21" i="20"/>
  <c r="U22" i="20"/>
  <c r="V21" i="20"/>
  <c r="N101" i="25"/>
  <c r="AI101" i="25"/>
  <c r="N55" i="25"/>
  <c r="AI55" i="25"/>
  <c r="B32" i="25"/>
  <c r="N32" i="25"/>
  <c r="AI32" i="25"/>
  <c r="Q40" i="20"/>
  <c r="R40" i="20"/>
  <c r="M23" i="20"/>
  <c r="M42" i="20"/>
  <c r="I42" i="20"/>
  <c r="J42" i="20"/>
  <c r="E41" i="20"/>
  <c r="F41" i="20"/>
  <c r="B41" i="20"/>
  <c r="C41" i="20"/>
  <c r="AR42" i="20"/>
  <c r="AS41" i="20"/>
  <c r="AP41" i="20"/>
  <c r="AO42" i="20"/>
  <c r="AP20" i="20"/>
  <c r="AO21" i="20"/>
  <c r="S21" i="6"/>
  <c r="AC21" i="6"/>
  <c r="AM21" i="6"/>
  <c r="AM56" i="6"/>
  <c r="AT56" i="6"/>
  <c r="BS20" i="6"/>
  <c r="BS44" i="6"/>
  <c r="BS68" i="6"/>
  <c r="BS92" i="6"/>
  <c r="BS116" i="6"/>
  <c r="BS140" i="6"/>
  <c r="BS164" i="6"/>
  <c r="J21" i="20"/>
  <c r="I22" i="20"/>
  <c r="R21" i="20"/>
  <c r="Q22" i="20"/>
  <c r="C21" i="20"/>
  <c r="B22" i="20"/>
  <c r="N79" i="25"/>
  <c r="AI79" i="25"/>
  <c r="U23" i="20"/>
  <c r="V22" i="20"/>
  <c r="F21" i="20"/>
  <c r="E22" i="20"/>
  <c r="N102" i="25"/>
  <c r="AI102" i="25"/>
  <c r="S22" i="6"/>
  <c r="AC22" i="6"/>
  <c r="AM22" i="6"/>
  <c r="AM57" i="6"/>
  <c r="AT57" i="6"/>
  <c r="N125" i="25"/>
  <c r="AI125" i="25"/>
  <c r="CM21" i="20"/>
  <c r="CN20" i="20"/>
  <c r="B33" i="25"/>
  <c r="N33" i="25"/>
  <c r="AI33" i="25"/>
  <c r="N56" i="25"/>
  <c r="AI56" i="25"/>
  <c r="Q41" i="20"/>
  <c r="R41" i="20"/>
  <c r="M43" i="20"/>
  <c r="M24" i="20"/>
  <c r="I43" i="20"/>
  <c r="J43" i="20"/>
  <c r="E42" i="20"/>
  <c r="F42" i="20"/>
  <c r="B42" i="20"/>
  <c r="C42" i="20"/>
  <c r="AR43" i="20"/>
  <c r="AS42" i="20"/>
  <c r="AP42" i="20"/>
  <c r="AO43" i="20"/>
  <c r="AO22" i="20"/>
  <c r="AP21" i="20"/>
  <c r="BS21" i="6"/>
  <c r="BS45" i="6"/>
  <c r="BS69" i="6"/>
  <c r="BS93" i="6"/>
  <c r="BS117" i="6"/>
  <c r="BS141" i="6"/>
  <c r="BS165" i="6"/>
  <c r="BS22" i="6"/>
  <c r="BS46" i="6"/>
  <c r="BS70" i="6"/>
  <c r="BS94" i="6"/>
  <c r="BS118" i="6"/>
  <c r="BS142" i="6"/>
  <c r="BS166" i="6"/>
  <c r="S23" i="6"/>
  <c r="AC23" i="6"/>
  <c r="AM23" i="6"/>
  <c r="AM58" i="6"/>
  <c r="AT58" i="6"/>
  <c r="AP43" i="20"/>
  <c r="AO44" i="20"/>
  <c r="N80" i="25"/>
  <c r="AI80" i="25"/>
  <c r="N126" i="25"/>
  <c r="AI126" i="25"/>
  <c r="U24" i="20"/>
  <c r="V23" i="20"/>
  <c r="C22" i="20"/>
  <c r="B23" i="20"/>
  <c r="CM22" i="20"/>
  <c r="CN21" i="20"/>
  <c r="F22" i="20"/>
  <c r="E23" i="20"/>
  <c r="J22" i="20"/>
  <c r="I23" i="20"/>
  <c r="N103" i="25"/>
  <c r="AI103" i="25"/>
  <c r="R22" i="20"/>
  <c r="Q23" i="20"/>
  <c r="B34" i="25"/>
  <c r="N34" i="25"/>
  <c r="AI34" i="25"/>
  <c r="N57" i="25"/>
  <c r="AI57" i="25"/>
  <c r="Q42" i="20"/>
  <c r="R42" i="20"/>
  <c r="M25" i="20"/>
  <c r="M44" i="20"/>
  <c r="I44" i="20"/>
  <c r="J44" i="20"/>
  <c r="E43" i="20"/>
  <c r="F43" i="20"/>
  <c r="B43" i="20"/>
  <c r="C43" i="20"/>
  <c r="AR44" i="20"/>
  <c r="AS43" i="20"/>
  <c r="AO23" i="20"/>
  <c r="AP22" i="20"/>
  <c r="S24" i="6"/>
  <c r="AC24" i="6"/>
  <c r="AM24" i="6"/>
  <c r="AM59" i="6"/>
  <c r="AT59" i="6"/>
  <c r="BS23" i="6"/>
  <c r="BS47" i="6"/>
  <c r="BS71" i="6"/>
  <c r="BS95" i="6"/>
  <c r="BS119" i="6"/>
  <c r="BS143" i="6"/>
  <c r="BS167" i="6"/>
  <c r="N127" i="25"/>
  <c r="AI127" i="25"/>
  <c r="C23" i="20"/>
  <c r="B24" i="20"/>
  <c r="CM23" i="20"/>
  <c r="CN22" i="20"/>
  <c r="N104" i="25"/>
  <c r="AI104" i="25"/>
  <c r="R23" i="20"/>
  <c r="Q24" i="20"/>
  <c r="J23" i="20"/>
  <c r="I24" i="20"/>
  <c r="N81" i="25"/>
  <c r="AI81" i="25"/>
  <c r="F23" i="20"/>
  <c r="E24" i="20"/>
  <c r="U25" i="20"/>
  <c r="V24" i="20"/>
  <c r="AP44" i="20"/>
  <c r="AO45" i="20"/>
  <c r="N58" i="25"/>
  <c r="AI58" i="25"/>
  <c r="B35" i="25"/>
  <c r="N35" i="25"/>
  <c r="AI35" i="25"/>
  <c r="Q43" i="20"/>
  <c r="R43" i="20"/>
  <c r="M45" i="20"/>
  <c r="M26" i="20"/>
  <c r="I45" i="20"/>
  <c r="J45" i="20"/>
  <c r="E44" i="20"/>
  <c r="F44" i="20"/>
  <c r="B44" i="20"/>
  <c r="C44" i="20"/>
  <c r="AR45" i="20"/>
  <c r="AS44" i="20"/>
  <c r="AP23" i="20"/>
  <c r="AO24" i="20"/>
  <c r="S25" i="6"/>
  <c r="AC25" i="6"/>
  <c r="AM25" i="6"/>
  <c r="AM60" i="6"/>
  <c r="AT60" i="6"/>
  <c r="BS24" i="6"/>
  <c r="BS48" i="6"/>
  <c r="BS72" i="6"/>
  <c r="BS96" i="6"/>
  <c r="BS120" i="6"/>
  <c r="BS144" i="6"/>
  <c r="BS168" i="6"/>
  <c r="U26" i="20"/>
  <c r="V25" i="20"/>
  <c r="N105" i="25"/>
  <c r="AI105" i="25"/>
  <c r="R24" i="20"/>
  <c r="Q25" i="20"/>
  <c r="N128" i="25"/>
  <c r="AI128" i="25"/>
  <c r="AO46" i="20"/>
  <c r="AP45" i="20"/>
  <c r="C24" i="20"/>
  <c r="B25" i="20"/>
  <c r="J24" i="20"/>
  <c r="I25" i="20"/>
  <c r="CM24" i="20"/>
  <c r="CN23" i="20"/>
  <c r="N82" i="25"/>
  <c r="AI82" i="25"/>
  <c r="F24" i="20"/>
  <c r="E25" i="20"/>
  <c r="B36" i="25"/>
  <c r="N36" i="25"/>
  <c r="AI36" i="25"/>
  <c r="N59" i="25"/>
  <c r="AI59" i="25"/>
  <c r="Q44" i="20"/>
  <c r="R44" i="20"/>
  <c r="M46" i="20"/>
  <c r="M27" i="20"/>
  <c r="I46" i="20"/>
  <c r="J46" i="20"/>
  <c r="E45" i="20"/>
  <c r="F45" i="20"/>
  <c r="B45" i="20"/>
  <c r="C45" i="20"/>
  <c r="AR46" i="20"/>
  <c r="AS45" i="20"/>
  <c r="AP24" i="20"/>
  <c r="AO25" i="20"/>
  <c r="S26" i="6"/>
  <c r="AC26" i="6"/>
  <c r="AM26" i="6"/>
  <c r="AM61" i="6"/>
  <c r="AT61" i="6"/>
  <c r="BS25" i="6"/>
  <c r="BS49" i="6"/>
  <c r="BS73" i="6"/>
  <c r="BS97" i="6"/>
  <c r="BS121" i="6"/>
  <c r="BS145" i="6"/>
  <c r="BS169" i="6"/>
  <c r="J25" i="20"/>
  <c r="I26" i="20"/>
  <c r="F25" i="20"/>
  <c r="E26" i="20"/>
  <c r="N129" i="25"/>
  <c r="AI129" i="25"/>
  <c r="U27" i="20"/>
  <c r="V26" i="20"/>
  <c r="N106" i="25"/>
  <c r="AI106" i="25"/>
  <c r="N83" i="25"/>
  <c r="AI83" i="25"/>
  <c r="CN24" i="20"/>
  <c r="CM25" i="20"/>
  <c r="C25" i="20"/>
  <c r="B26" i="20"/>
  <c r="AO47" i="20"/>
  <c r="AP46" i="20"/>
  <c r="R25" i="20"/>
  <c r="Q26" i="20"/>
  <c r="N60" i="25"/>
  <c r="AI60" i="25"/>
  <c r="B37" i="25"/>
  <c r="N37" i="25"/>
  <c r="AI37" i="25"/>
  <c r="Q45" i="20"/>
  <c r="R45" i="20"/>
  <c r="M28" i="20"/>
  <c r="M47" i="20"/>
  <c r="I47" i="20"/>
  <c r="J47" i="20"/>
  <c r="E46" i="20"/>
  <c r="F46" i="20"/>
  <c r="B46" i="20"/>
  <c r="C46" i="20"/>
  <c r="AR47" i="20"/>
  <c r="AS46" i="20"/>
  <c r="AP25" i="20"/>
  <c r="AO26" i="20"/>
  <c r="BS26" i="6"/>
  <c r="BS50" i="6"/>
  <c r="BS74" i="6"/>
  <c r="BS98" i="6"/>
  <c r="BS122" i="6"/>
  <c r="BS146" i="6"/>
  <c r="BS170" i="6"/>
  <c r="S27" i="6"/>
  <c r="AC27" i="6"/>
  <c r="AM27" i="6"/>
  <c r="AM62" i="6"/>
  <c r="AT62" i="6"/>
  <c r="C26" i="20"/>
  <c r="B27" i="20"/>
  <c r="N130" i="25"/>
  <c r="AI130" i="25"/>
  <c r="F26" i="20"/>
  <c r="E27" i="20"/>
  <c r="R26" i="20"/>
  <c r="Q27" i="20"/>
  <c r="CM26" i="20"/>
  <c r="CN25" i="20"/>
  <c r="N107" i="25"/>
  <c r="AI107" i="25"/>
  <c r="U28" i="20"/>
  <c r="V28" i="20"/>
  <c r="V27" i="20"/>
  <c r="J26" i="20"/>
  <c r="I27" i="20"/>
  <c r="N84" i="25"/>
  <c r="AI84" i="25"/>
  <c r="AP47" i="20"/>
  <c r="AO48" i="20"/>
  <c r="B38" i="25"/>
  <c r="N38" i="25"/>
  <c r="AI38" i="25"/>
  <c r="N61" i="25"/>
  <c r="AI61" i="25"/>
  <c r="Q46" i="20"/>
  <c r="R46" i="20"/>
  <c r="M48" i="20"/>
  <c r="I48" i="20"/>
  <c r="J48" i="20"/>
  <c r="E47" i="20"/>
  <c r="F47" i="20"/>
  <c r="B47" i="20"/>
  <c r="C47" i="20"/>
  <c r="AR48" i="20"/>
  <c r="AS47" i="20"/>
  <c r="AO27" i="20"/>
  <c r="AP26" i="20"/>
  <c r="S28" i="6"/>
  <c r="AC28" i="6"/>
  <c r="AM28" i="6"/>
  <c r="AM63" i="6"/>
  <c r="AT63" i="6"/>
  <c r="BS27" i="6"/>
  <c r="BS51" i="6"/>
  <c r="BS75" i="6"/>
  <c r="BS99" i="6"/>
  <c r="BS123" i="6"/>
  <c r="BS147" i="6"/>
  <c r="BS171" i="6"/>
  <c r="N131" i="25"/>
  <c r="AI131" i="25"/>
  <c r="R27" i="20"/>
  <c r="Q28" i="20"/>
  <c r="R28" i="20"/>
  <c r="N108" i="25"/>
  <c r="AI108" i="25"/>
  <c r="V4" i="20"/>
  <c r="CM27" i="20"/>
  <c r="CN26" i="20"/>
  <c r="AP48" i="20"/>
  <c r="AO49" i="20"/>
  <c r="AP49" i="20"/>
  <c r="J27" i="20"/>
  <c r="I28" i="20"/>
  <c r="J28" i="20"/>
  <c r="F27" i="20"/>
  <c r="E28" i="20"/>
  <c r="F28" i="20"/>
  <c r="C27" i="20"/>
  <c r="B28" i="20"/>
  <c r="C28" i="20"/>
  <c r="N85" i="25"/>
  <c r="AI85" i="25"/>
  <c r="N62" i="25"/>
  <c r="AI62" i="25"/>
  <c r="Q47" i="20"/>
  <c r="R47" i="20"/>
  <c r="M49" i="20"/>
  <c r="N4" i="20"/>
  <c r="I49" i="20"/>
  <c r="E48" i="20"/>
  <c r="F48" i="20"/>
  <c r="B48" i="20"/>
  <c r="C48" i="20"/>
  <c r="AV4" i="20"/>
  <c r="AS48" i="20"/>
  <c r="AS4" i="20"/>
  <c r="AP27" i="20"/>
  <c r="AO28" i="20"/>
  <c r="S29" i="6"/>
  <c r="AC29" i="6"/>
  <c r="AM29" i="6"/>
  <c r="AM64" i="6"/>
  <c r="AT64" i="6"/>
  <c r="BS28" i="6"/>
  <c r="BS52" i="6"/>
  <c r="BS76" i="6"/>
  <c r="BS100" i="6"/>
  <c r="BS124" i="6"/>
  <c r="BS148" i="6"/>
  <c r="BS172" i="6"/>
  <c r="BF16" i="6"/>
  <c r="BF17" i="6"/>
  <c r="BF18" i="6"/>
  <c r="BF19" i="6"/>
  <c r="BF20" i="6"/>
  <c r="BF21" i="6"/>
  <c r="BF22" i="6"/>
  <c r="BF23" i="6"/>
  <c r="BF24" i="6"/>
  <c r="BF25" i="6"/>
  <c r="BF26" i="6"/>
  <c r="BF27" i="6"/>
  <c r="BF28" i="6"/>
  <c r="BF29" i="6"/>
  <c r="BF30" i="6"/>
  <c r="BF31" i="6"/>
  <c r="BF32" i="6"/>
  <c r="BF33" i="6"/>
  <c r="BF34" i="6"/>
  <c r="BF35" i="6"/>
  <c r="BF36" i="6"/>
  <c r="BF37" i="6"/>
  <c r="BF38" i="6"/>
  <c r="N86" i="25"/>
  <c r="AI86" i="25"/>
  <c r="J49" i="20"/>
  <c r="J4" i="20"/>
  <c r="CN27" i="20"/>
  <c r="CM4" i="20"/>
  <c r="N132" i="25"/>
  <c r="AI132" i="25"/>
  <c r="N109" i="25"/>
  <c r="AI109" i="25"/>
  <c r="Q48" i="20"/>
  <c r="R48" i="20"/>
  <c r="E49" i="20"/>
  <c r="F49" i="20"/>
  <c r="B49" i="20"/>
  <c r="AP28" i="20"/>
  <c r="AP4" i="20"/>
  <c r="S30" i="6"/>
  <c r="AC30" i="6"/>
  <c r="AM30" i="6"/>
  <c r="AM65" i="6"/>
  <c r="AT65" i="6"/>
  <c r="BS29" i="6"/>
  <c r="BS53" i="6"/>
  <c r="BS77" i="6"/>
  <c r="BS101" i="6"/>
  <c r="BS125" i="6"/>
  <c r="BS149" i="6"/>
  <c r="BS173" i="6"/>
  <c r="B8" i="8"/>
  <c r="D16" i="8"/>
  <c r="B9" i="8"/>
  <c r="E16" i="8"/>
  <c r="C4" i="20"/>
  <c r="C49" i="20"/>
  <c r="CY10" i="20"/>
  <c r="CY8" i="20"/>
  <c r="CY9" i="20"/>
  <c r="CY11" i="20"/>
  <c r="CY12" i="20"/>
  <c r="CY13" i="20"/>
  <c r="CY14" i="20"/>
  <c r="CY15" i="20"/>
  <c r="CY16" i="20"/>
  <c r="CY17" i="20"/>
  <c r="CY18" i="20"/>
  <c r="CY19" i="20"/>
  <c r="CY20" i="20"/>
  <c r="CY21" i="20"/>
  <c r="CY22" i="20"/>
  <c r="CY23" i="20"/>
  <c r="CY24" i="20"/>
  <c r="CY25" i="20"/>
  <c r="CY26" i="20"/>
  <c r="CY27" i="20"/>
  <c r="CN4" i="20"/>
  <c r="CZ27" i="20"/>
  <c r="CN3" i="20"/>
  <c r="N110" i="25"/>
  <c r="AI110" i="25"/>
  <c r="Q49" i="20"/>
  <c r="F4" i="20"/>
  <c r="BS30" i="6"/>
  <c r="BS54" i="6"/>
  <c r="BS78" i="6"/>
  <c r="BS102" i="6"/>
  <c r="BS126" i="6"/>
  <c r="BS150" i="6"/>
  <c r="BS174" i="6"/>
  <c r="S31" i="6"/>
  <c r="AC31" i="6"/>
  <c r="AM31" i="6"/>
  <c r="AM66" i="6"/>
  <c r="AT66" i="6"/>
  <c r="E13" i="8"/>
  <c r="E59" i="8"/>
  <c r="E55" i="8"/>
  <c r="E51" i="8"/>
  <c r="E47" i="8"/>
  <c r="E43" i="8"/>
  <c r="E39" i="8"/>
  <c r="E35" i="8"/>
  <c r="E31" i="8"/>
  <c r="E27" i="8"/>
  <c r="E23" i="8"/>
  <c r="E19" i="8"/>
  <c r="E15" i="8"/>
  <c r="E62" i="8"/>
  <c r="E58" i="8"/>
  <c r="E54" i="8"/>
  <c r="E50" i="8"/>
  <c r="E46" i="8"/>
  <c r="E42" i="8"/>
  <c r="E38" i="8"/>
  <c r="E34" i="8"/>
  <c r="E30" i="8"/>
  <c r="E26" i="8"/>
  <c r="E22" i="8"/>
  <c r="E18" i="8"/>
  <c r="E14" i="8"/>
  <c r="E61" i="8"/>
  <c r="E57" i="8"/>
  <c r="E53" i="8"/>
  <c r="E49" i="8"/>
  <c r="E45" i="8"/>
  <c r="E41" i="8"/>
  <c r="E37" i="8"/>
  <c r="E33" i="8"/>
  <c r="E29" i="8"/>
  <c r="E25" i="8"/>
  <c r="E21" i="8"/>
  <c r="E17" i="8"/>
  <c r="E60" i="8"/>
  <c r="E56" i="8"/>
  <c r="E52" i="8"/>
  <c r="E48" i="8"/>
  <c r="E44" i="8"/>
  <c r="E40" i="8"/>
  <c r="E36" i="8"/>
  <c r="E32" i="8"/>
  <c r="E28" i="8"/>
  <c r="E24" i="8"/>
  <c r="E20" i="8"/>
  <c r="D38" i="8"/>
  <c r="D62" i="8"/>
  <c r="D46" i="8"/>
  <c r="D30" i="8"/>
  <c r="D54" i="8"/>
  <c r="D22" i="8"/>
  <c r="D58" i="8"/>
  <c r="D42" i="8"/>
  <c r="D26" i="8"/>
  <c r="D50" i="8"/>
  <c r="D34" i="8"/>
  <c r="D18" i="8"/>
  <c r="D60" i="8"/>
  <c r="D56" i="8"/>
  <c r="D52" i="8"/>
  <c r="D48" i="8"/>
  <c r="D44" i="8"/>
  <c r="D40" i="8"/>
  <c r="D36" i="8"/>
  <c r="D32" i="8"/>
  <c r="D28" i="8"/>
  <c r="D24" i="8"/>
  <c r="D20" i="8"/>
  <c r="D13" i="8"/>
  <c r="D59" i="8"/>
  <c r="D55" i="8"/>
  <c r="D51" i="8"/>
  <c r="D47" i="8"/>
  <c r="D43" i="8"/>
  <c r="D39" i="8"/>
  <c r="D35" i="8"/>
  <c r="D31" i="8"/>
  <c r="D27" i="8"/>
  <c r="D23" i="8"/>
  <c r="D19" i="8"/>
  <c r="D15" i="8"/>
  <c r="D14" i="8"/>
  <c r="D61" i="8"/>
  <c r="D57" i="8"/>
  <c r="D53" i="8"/>
  <c r="D49" i="8"/>
  <c r="D45" i="8"/>
  <c r="D41" i="8"/>
  <c r="D37" i="8"/>
  <c r="D33" i="8"/>
  <c r="D29" i="8"/>
  <c r="D25" i="8"/>
  <c r="D21" i="8"/>
  <c r="D17" i="8"/>
  <c r="AC52" i="6"/>
  <c r="AC69" i="6"/>
  <c r="AC68" i="6"/>
  <c r="AC67" i="6"/>
  <c r="B52" i="6"/>
  <c r="L52" i="6"/>
  <c r="AC65" i="6"/>
  <c r="AC64" i="6"/>
  <c r="AC63" i="6"/>
  <c r="B48" i="6"/>
  <c r="L48" i="6"/>
  <c r="B167" i="6"/>
  <c r="L167" i="6"/>
  <c r="AC60" i="6"/>
  <c r="AC59" i="6"/>
  <c r="B20" i="6"/>
  <c r="L20" i="6"/>
  <c r="AC57" i="6"/>
  <c r="AC56" i="6"/>
  <c r="AC55" i="6"/>
  <c r="B160" i="6"/>
  <c r="L160" i="6"/>
  <c r="AK63" i="6"/>
  <c r="AK62" i="6"/>
  <c r="AK61" i="6"/>
  <c r="AK60" i="6"/>
  <c r="AK59" i="6"/>
  <c r="AK58" i="6"/>
  <c r="AK57" i="6"/>
  <c r="AK56" i="6"/>
  <c r="AK55" i="6"/>
  <c r="AK54" i="6"/>
  <c r="AK53" i="6"/>
  <c r="AJ74" i="6"/>
  <c r="AJ73" i="6"/>
  <c r="AJ72" i="6"/>
  <c r="AJ71" i="6"/>
  <c r="AJ70" i="6"/>
  <c r="AJ69" i="6"/>
  <c r="AJ68" i="6"/>
  <c r="AJ67" i="6"/>
  <c r="AJ66" i="6"/>
  <c r="AJ65" i="6"/>
  <c r="AJ64" i="6"/>
  <c r="AJ63" i="6"/>
  <c r="AJ62" i="6"/>
  <c r="AJ61" i="6"/>
  <c r="AJ60" i="6"/>
  <c r="AJ59" i="6"/>
  <c r="AJ58" i="6"/>
  <c r="AJ57" i="6"/>
  <c r="AJ56" i="6"/>
  <c r="AJ55" i="6"/>
  <c r="AJ54" i="6"/>
  <c r="AJ53" i="6"/>
  <c r="AG53" i="6"/>
  <c r="AH53" i="6"/>
  <c r="AI53" i="6"/>
  <c r="AG54" i="6"/>
  <c r="AH54" i="6"/>
  <c r="AI54" i="6"/>
  <c r="AG55" i="6"/>
  <c r="AH55" i="6"/>
  <c r="AI55" i="6"/>
  <c r="AG56" i="6"/>
  <c r="AH56" i="6"/>
  <c r="AI56" i="6"/>
  <c r="AG57" i="6"/>
  <c r="AH57" i="6"/>
  <c r="AI57" i="6"/>
  <c r="AG58" i="6"/>
  <c r="AH58" i="6"/>
  <c r="AI58" i="6"/>
  <c r="AG59" i="6"/>
  <c r="AH59" i="6"/>
  <c r="AI59" i="6"/>
  <c r="AG60" i="6"/>
  <c r="AH60" i="6"/>
  <c r="AI60" i="6"/>
  <c r="AG61" i="6"/>
  <c r="AH61" i="6"/>
  <c r="AI61" i="6"/>
  <c r="AG62" i="6"/>
  <c r="AH62" i="6"/>
  <c r="AI62" i="6"/>
  <c r="AG63" i="6"/>
  <c r="AH63" i="6"/>
  <c r="AI63" i="6"/>
  <c r="AG64" i="6"/>
  <c r="AH64" i="6"/>
  <c r="AI64" i="6"/>
  <c r="AG65" i="6"/>
  <c r="AH65" i="6"/>
  <c r="AI65" i="6"/>
  <c r="AG66" i="6"/>
  <c r="AH66" i="6"/>
  <c r="AI66" i="6"/>
  <c r="AG67" i="6"/>
  <c r="AH67" i="6"/>
  <c r="AI67" i="6"/>
  <c r="AG68" i="6"/>
  <c r="AH68" i="6"/>
  <c r="AI68" i="6"/>
  <c r="AG69" i="6"/>
  <c r="AH69" i="6"/>
  <c r="AI69" i="6"/>
  <c r="AG70" i="6"/>
  <c r="AH70" i="6"/>
  <c r="AI70" i="6"/>
  <c r="AG71" i="6"/>
  <c r="AH71" i="6"/>
  <c r="AI71" i="6"/>
  <c r="AG72" i="6"/>
  <c r="AH72" i="6"/>
  <c r="AI72" i="6"/>
  <c r="AG73" i="6"/>
  <c r="AH73" i="6"/>
  <c r="AI73" i="6"/>
  <c r="AG74" i="6"/>
  <c r="AH74" i="6"/>
  <c r="AI74" i="6"/>
  <c r="AG75" i="6"/>
  <c r="AH75" i="6"/>
  <c r="AI75" i="6"/>
  <c r="AG76" i="6"/>
  <c r="AH76" i="6"/>
  <c r="AI76" i="6"/>
  <c r="AF54" i="6"/>
  <c r="AF55" i="6"/>
  <c r="AF56" i="6"/>
  <c r="AF57" i="6"/>
  <c r="AF58" i="6"/>
  <c r="AF59" i="6"/>
  <c r="AF60" i="6"/>
  <c r="AF61" i="6"/>
  <c r="AF62" i="6"/>
  <c r="AF63" i="6"/>
  <c r="AF64" i="6"/>
  <c r="AF65" i="6"/>
  <c r="AF66" i="6"/>
  <c r="AF67" i="6"/>
  <c r="AF68" i="6"/>
  <c r="AF69" i="6"/>
  <c r="AF70" i="6"/>
  <c r="AF71" i="6"/>
  <c r="AF72" i="6"/>
  <c r="AF73" i="6"/>
  <c r="AF74" i="6"/>
  <c r="AF75" i="6"/>
  <c r="AF76" i="6"/>
  <c r="AF53" i="6"/>
  <c r="AK25" i="6"/>
  <c r="AK24" i="6"/>
  <c r="AK23" i="6"/>
  <c r="AK22" i="6"/>
  <c r="AK21" i="6"/>
  <c r="AK20" i="6"/>
  <c r="AK19" i="6"/>
  <c r="AK18" i="6"/>
  <c r="AK17" i="6"/>
  <c r="AK16" i="6"/>
  <c r="AK15" i="6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4" i="6"/>
  <c r="AG23" i="6"/>
  <c r="AG22" i="6"/>
  <c r="AG21" i="6"/>
  <c r="AG20" i="6"/>
  <c r="AG19" i="6"/>
  <c r="AG18" i="6"/>
  <c r="AG17" i="6"/>
  <c r="AG16" i="6"/>
  <c r="AG15" i="6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4" i="6"/>
  <c r="AF23" i="6"/>
  <c r="AF22" i="6"/>
  <c r="AF21" i="6"/>
  <c r="AF20" i="6"/>
  <c r="AF19" i="6"/>
  <c r="AF18" i="6"/>
  <c r="AF17" i="6"/>
  <c r="AF16" i="6"/>
  <c r="AF15" i="6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9" i="6"/>
  <c r="AE18" i="6"/>
  <c r="AE17" i="6"/>
  <c r="AE16" i="6"/>
  <c r="AE15" i="6"/>
  <c r="AD38" i="6"/>
  <c r="AD37" i="6"/>
  <c r="AD36" i="6"/>
  <c r="AD35" i="6"/>
  <c r="AD34" i="6"/>
  <c r="AD33" i="6"/>
  <c r="AD32" i="6"/>
  <c r="BU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B163" i="6"/>
  <c r="L163" i="6"/>
  <c r="B159" i="6"/>
  <c r="L159" i="6"/>
  <c r="AH15" i="6"/>
  <c r="AH16" i="6"/>
  <c r="AI16" i="6"/>
  <c r="AJ16" i="6"/>
  <c r="AH17" i="6"/>
  <c r="AI17" i="6"/>
  <c r="AJ17" i="6"/>
  <c r="AH18" i="6"/>
  <c r="AI18" i="6"/>
  <c r="AJ18" i="6"/>
  <c r="AH19" i="6"/>
  <c r="AI19" i="6"/>
  <c r="AJ19" i="6"/>
  <c r="AH20" i="6"/>
  <c r="AI20" i="6"/>
  <c r="AJ20" i="6"/>
  <c r="AH21" i="6"/>
  <c r="AI21" i="6"/>
  <c r="AJ21" i="6"/>
  <c r="AH22" i="6"/>
  <c r="AI22" i="6"/>
  <c r="AJ22" i="6"/>
  <c r="AH23" i="6"/>
  <c r="AI23" i="6"/>
  <c r="AJ23" i="6"/>
  <c r="AH24" i="6"/>
  <c r="AI24" i="6"/>
  <c r="AJ24" i="6"/>
  <c r="AH25" i="6"/>
  <c r="AI25" i="6"/>
  <c r="AJ25" i="6"/>
  <c r="AH26" i="6"/>
  <c r="AI26" i="6"/>
  <c r="AJ26" i="6"/>
  <c r="AH27" i="6"/>
  <c r="AI27" i="6"/>
  <c r="AJ27" i="6"/>
  <c r="AH28" i="6"/>
  <c r="AI28" i="6"/>
  <c r="AJ28" i="6"/>
  <c r="AH29" i="6"/>
  <c r="AI29" i="6"/>
  <c r="AJ29" i="6"/>
  <c r="AH30" i="6"/>
  <c r="AI30" i="6"/>
  <c r="AJ30" i="6"/>
  <c r="AH31" i="6"/>
  <c r="AI31" i="6"/>
  <c r="AJ31" i="6"/>
  <c r="AH32" i="6"/>
  <c r="AI32" i="6"/>
  <c r="AJ32" i="6"/>
  <c r="AH33" i="6"/>
  <c r="AI33" i="6"/>
  <c r="AJ33" i="6"/>
  <c r="AH34" i="6"/>
  <c r="AI34" i="6"/>
  <c r="AJ34" i="6"/>
  <c r="AH35" i="6"/>
  <c r="AI35" i="6"/>
  <c r="AJ35" i="6"/>
  <c r="AH36" i="6"/>
  <c r="AI36" i="6"/>
  <c r="AJ36" i="6"/>
  <c r="AH37" i="6"/>
  <c r="AI37" i="6"/>
  <c r="AH38" i="6"/>
  <c r="AI38" i="6"/>
  <c r="AI15" i="6"/>
  <c r="AJ15" i="6"/>
  <c r="R10" i="25"/>
  <c r="R12" i="25"/>
  <c r="R111" i="25"/>
  <c r="N8" i="25"/>
  <c r="N7" i="25"/>
  <c r="R65" i="25"/>
  <c r="R21" i="25"/>
  <c r="R70" i="25"/>
  <c r="R119" i="25"/>
  <c r="R30" i="25"/>
  <c r="R102" i="25"/>
  <c r="R37" i="25"/>
  <c r="R49" i="20"/>
  <c r="R4" i="20"/>
  <c r="CZ8" i="20"/>
  <c r="CZ11" i="20"/>
  <c r="CZ10" i="20"/>
  <c r="CZ9" i="20"/>
  <c r="CZ12" i="20"/>
  <c r="CZ13" i="20"/>
  <c r="CZ14" i="20"/>
  <c r="CZ15" i="20"/>
  <c r="CZ16" i="20"/>
  <c r="CZ17" i="20"/>
  <c r="CZ18" i="20"/>
  <c r="CZ19" i="20"/>
  <c r="CZ20" i="20"/>
  <c r="CZ21" i="20"/>
  <c r="CZ22" i="20"/>
  <c r="CZ23" i="20"/>
  <c r="CZ24" i="20"/>
  <c r="CZ25" i="20"/>
  <c r="CZ26" i="20"/>
  <c r="C32" i="6"/>
  <c r="M32" i="6"/>
  <c r="C158" i="6"/>
  <c r="M158" i="6"/>
  <c r="BU158" i="6"/>
  <c r="C180" i="6"/>
  <c r="M180" i="6"/>
  <c r="BU180" i="6"/>
  <c r="C176" i="6"/>
  <c r="M176" i="6"/>
  <c r="BU176" i="6"/>
  <c r="C172" i="6"/>
  <c r="M172" i="6"/>
  <c r="BU172" i="6"/>
  <c r="C143" i="6"/>
  <c r="M143" i="6"/>
  <c r="BU143" i="6"/>
  <c r="C164" i="6"/>
  <c r="M164" i="6"/>
  <c r="BU164" i="6"/>
  <c r="C160" i="6"/>
  <c r="M160" i="6"/>
  <c r="BU160" i="6"/>
  <c r="C156" i="6"/>
  <c r="M156" i="6"/>
  <c r="BU156" i="6"/>
  <c r="C152" i="6"/>
  <c r="M152" i="6"/>
  <c r="BU152" i="6"/>
  <c r="C148" i="6"/>
  <c r="M148" i="6"/>
  <c r="BU148" i="6"/>
  <c r="C144" i="6"/>
  <c r="M144" i="6"/>
  <c r="BU144" i="6"/>
  <c r="C165" i="6"/>
  <c r="M165" i="6"/>
  <c r="BU165" i="6"/>
  <c r="C140" i="6"/>
  <c r="M140" i="6"/>
  <c r="BU140" i="6"/>
  <c r="C161" i="6"/>
  <c r="M161" i="6"/>
  <c r="BU161" i="6"/>
  <c r="C136" i="6"/>
  <c r="M136" i="6"/>
  <c r="BU136" i="6"/>
  <c r="C157" i="6"/>
  <c r="M157" i="6"/>
  <c r="BU157" i="6"/>
  <c r="C178" i="6"/>
  <c r="M178" i="6"/>
  <c r="BU178" i="6"/>
  <c r="C153" i="6"/>
  <c r="M153" i="6"/>
  <c r="BU153" i="6"/>
  <c r="C174" i="6"/>
  <c r="M174" i="6"/>
  <c r="BU174" i="6"/>
  <c r="C149" i="6"/>
  <c r="M149" i="6"/>
  <c r="BU149" i="6"/>
  <c r="C170" i="6"/>
  <c r="M170" i="6"/>
  <c r="BU170" i="6"/>
  <c r="C145" i="6"/>
  <c r="M145" i="6"/>
  <c r="BU145" i="6"/>
  <c r="C166" i="6"/>
  <c r="M166" i="6"/>
  <c r="BU166" i="6"/>
  <c r="C141" i="6"/>
  <c r="M141" i="6"/>
  <c r="BU141" i="6"/>
  <c r="C162" i="6"/>
  <c r="M162" i="6"/>
  <c r="BU162" i="6"/>
  <c r="C137" i="6"/>
  <c r="M137" i="6"/>
  <c r="BU137" i="6"/>
  <c r="C155" i="6"/>
  <c r="M155" i="6"/>
  <c r="BU155" i="6"/>
  <c r="C151" i="6"/>
  <c r="M151" i="6"/>
  <c r="BU151" i="6"/>
  <c r="C147" i="6"/>
  <c r="M147" i="6"/>
  <c r="BU147" i="6"/>
  <c r="C168" i="6"/>
  <c r="M168" i="6"/>
  <c r="BU168" i="6"/>
  <c r="C139" i="6"/>
  <c r="M139" i="6"/>
  <c r="BU139" i="6"/>
  <c r="C177" i="6"/>
  <c r="M177" i="6"/>
  <c r="BU177" i="6"/>
  <c r="C173" i="6"/>
  <c r="M173" i="6"/>
  <c r="BU173" i="6"/>
  <c r="C169" i="6"/>
  <c r="M169" i="6"/>
  <c r="BU169" i="6"/>
  <c r="C179" i="6"/>
  <c r="M179" i="6"/>
  <c r="BU179" i="6"/>
  <c r="C154" i="6"/>
  <c r="M154" i="6"/>
  <c r="BU154" i="6"/>
  <c r="C175" i="6"/>
  <c r="M175" i="6"/>
  <c r="BU175" i="6"/>
  <c r="C150" i="6"/>
  <c r="M150" i="6"/>
  <c r="BU150" i="6"/>
  <c r="C171" i="6"/>
  <c r="M171" i="6"/>
  <c r="BU171" i="6"/>
  <c r="C146" i="6"/>
  <c r="M146" i="6"/>
  <c r="BU146" i="6"/>
  <c r="C167" i="6"/>
  <c r="M167" i="6"/>
  <c r="BU167" i="6"/>
  <c r="C142" i="6"/>
  <c r="M142" i="6"/>
  <c r="BU142" i="6"/>
  <c r="C163" i="6"/>
  <c r="M163" i="6"/>
  <c r="BU163" i="6"/>
  <c r="C138" i="6"/>
  <c r="M138" i="6"/>
  <c r="BU138" i="6"/>
  <c r="C134" i="6"/>
  <c r="M134" i="6"/>
  <c r="BU134" i="6"/>
  <c r="C119" i="6"/>
  <c r="M119" i="6"/>
  <c r="BU119" i="6"/>
  <c r="C22" i="6"/>
  <c r="M22" i="6"/>
  <c r="BU22" i="6"/>
  <c r="C34" i="6"/>
  <c r="M34" i="6"/>
  <c r="BU34" i="6"/>
  <c r="C46" i="6"/>
  <c r="M46" i="6"/>
  <c r="BU46" i="6"/>
  <c r="C58" i="6"/>
  <c r="M58" i="6"/>
  <c r="BU58" i="6"/>
  <c r="C70" i="6"/>
  <c r="M70" i="6"/>
  <c r="BU70" i="6"/>
  <c r="C82" i="6"/>
  <c r="M82" i="6"/>
  <c r="BU82" i="6"/>
  <c r="C94" i="6"/>
  <c r="M94" i="6"/>
  <c r="BU94" i="6"/>
  <c r="C98" i="6"/>
  <c r="M98" i="6"/>
  <c r="BU98" i="6"/>
  <c r="C106" i="6"/>
  <c r="M106" i="6"/>
  <c r="BU106" i="6"/>
  <c r="C135" i="6"/>
  <c r="M135" i="6"/>
  <c r="BU135" i="6"/>
  <c r="C130" i="6"/>
  <c r="M130" i="6"/>
  <c r="BU130" i="6"/>
  <c r="C126" i="6"/>
  <c r="M126" i="6"/>
  <c r="BU126" i="6"/>
  <c r="C122" i="6"/>
  <c r="M122" i="6"/>
  <c r="BU122" i="6"/>
  <c r="C118" i="6"/>
  <c r="M118" i="6"/>
  <c r="BU118" i="6"/>
  <c r="C114" i="6"/>
  <c r="M114" i="6"/>
  <c r="BU114" i="6"/>
  <c r="C17" i="6"/>
  <c r="M17" i="6"/>
  <c r="BU17" i="6"/>
  <c r="C21" i="6"/>
  <c r="M21" i="6"/>
  <c r="BU21" i="6"/>
  <c r="C25" i="6"/>
  <c r="M25" i="6"/>
  <c r="BU25" i="6"/>
  <c r="C29" i="6"/>
  <c r="M29" i="6"/>
  <c r="BU29" i="6"/>
  <c r="C33" i="6"/>
  <c r="M33" i="6"/>
  <c r="BU33" i="6"/>
  <c r="C37" i="6"/>
  <c r="M37" i="6"/>
  <c r="BU37" i="6"/>
  <c r="C41" i="6"/>
  <c r="M41" i="6"/>
  <c r="BU41" i="6"/>
  <c r="C45" i="6"/>
  <c r="M45" i="6"/>
  <c r="BU45" i="6"/>
  <c r="C49" i="6"/>
  <c r="M49" i="6"/>
  <c r="BU49" i="6"/>
  <c r="C53" i="6"/>
  <c r="M53" i="6"/>
  <c r="BU53" i="6"/>
  <c r="C57" i="6"/>
  <c r="M57" i="6"/>
  <c r="BU57" i="6"/>
  <c r="C61" i="6"/>
  <c r="M61" i="6"/>
  <c r="BU61" i="6"/>
  <c r="C65" i="6"/>
  <c r="M65" i="6"/>
  <c r="BU65" i="6"/>
  <c r="C69" i="6"/>
  <c r="M69" i="6"/>
  <c r="BU69" i="6"/>
  <c r="C73" i="6"/>
  <c r="M73" i="6"/>
  <c r="BU73" i="6"/>
  <c r="C77" i="6"/>
  <c r="M77" i="6"/>
  <c r="BU77" i="6"/>
  <c r="C81" i="6"/>
  <c r="M81" i="6"/>
  <c r="BU81" i="6"/>
  <c r="C85" i="6"/>
  <c r="M85" i="6"/>
  <c r="BU85" i="6"/>
  <c r="C89" i="6"/>
  <c r="M89" i="6"/>
  <c r="BU89" i="6"/>
  <c r="C93" i="6"/>
  <c r="M93" i="6"/>
  <c r="BU93" i="6"/>
  <c r="C97" i="6"/>
  <c r="M97" i="6"/>
  <c r="BU97" i="6"/>
  <c r="C101" i="6"/>
  <c r="M101" i="6"/>
  <c r="BU101" i="6"/>
  <c r="C105" i="6"/>
  <c r="M105" i="6"/>
  <c r="BU105" i="6"/>
  <c r="C109" i="6"/>
  <c r="M109" i="6"/>
  <c r="BU109" i="6"/>
  <c r="C131" i="6"/>
  <c r="M131" i="6"/>
  <c r="BU131" i="6"/>
  <c r="C123" i="6"/>
  <c r="M123" i="6"/>
  <c r="BU123" i="6"/>
  <c r="C18" i="6"/>
  <c r="M18" i="6"/>
  <c r="BU18" i="6"/>
  <c r="C30" i="6"/>
  <c r="M30" i="6"/>
  <c r="BU30" i="6"/>
  <c r="C42" i="6"/>
  <c r="M42" i="6"/>
  <c r="BU42" i="6"/>
  <c r="C50" i="6"/>
  <c r="M50" i="6"/>
  <c r="BU50" i="6"/>
  <c r="C62" i="6"/>
  <c r="M62" i="6"/>
  <c r="BU62" i="6"/>
  <c r="C74" i="6"/>
  <c r="M74" i="6"/>
  <c r="BU74" i="6"/>
  <c r="C78" i="6"/>
  <c r="M78" i="6"/>
  <c r="BU78" i="6"/>
  <c r="C90" i="6"/>
  <c r="M90" i="6"/>
  <c r="BU90" i="6"/>
  <c r="C102" i="6"/>
  <c r="M102" i="6"/>
  <c r="BU102" i="6"/>
  <c r="C110" i="6"/>
  <c r="M110" i="6"/>
  <c r="BU110" i="6"/>
  <c r="C159" i="6"/>
  <c r="M159" i="6"/>
  <c r="BU159" i="6"/>
  <c r="C132" i="6"/>
  <c r="M132" i="6"/>
  <c r="BU132" i="6"/>
  <c r="C128" i="6"/>
  <c r="M128" i="6"/>
  <c r="BU128" i="6"/>
  <c r="C124" i="6"/>
  <c r="M124" i="6"/>
  <c r="BU124" i="6"/>
  <c r="C120" i="6"/>
  <c r="M120" i="6"/>
  <c r="BU120" i="6"/>
  <c r="C116" i="6"/>
  <c r="M116" i="6"/>
  <c r="BU116" i="6"/>
  <c r="C112" i="6"/>
  <c r="M112" i="6"/>
  <c r="BU112" i="6"/>
  <c r="C15" i="6"/>
  <c r="M15" i="6"/>
  <c r="BU15" i="6"/>
  <c r="C19" i="6"/>
  <c r="M19" i="6"/>
  <c r="BU19" i="6"/>
  <c r="C23" i="6"/>
  <c r="M23" i="6"/>
  <c r="BU23" i="6"/>
  <c r="C27" i="6"/>
  <c r="M27" i="6"/>
  <c r="BU27" i="6"/>
  <c r="C31" i="6"/>
  <c r="M31" i="6"/>
  <c r="BU31" i="6"/>
  <c r="C35" i="6"/>
  <c r="M35" i="6"/>
  <c r="BU35" i="6"/>
  <c r="C39" i="6"/>
  <c r="M39" i="6"/>
  <c r="BU39" i="6"/>
  <c r="C43" i="6"/>
  <c r="M43" i="6"/>
  <c r="BU43" i="6"/>
  <c r="C47" i="6"/>
  <c r="M47" i="6"/>
  <c r="BU47" i="6"/>
  <c r="C51" i="6"/>
  <c r="M51" i="6"/>
  <c r="BU51" i="6"/>
  <c r="C55" i="6"/>
  <c r="M55" i="6"/>
  <c r="BU55" i="6"/>
  <c r="C59" i="6"/>
  <c r="M59" i="6"/>
  <c r="BU59" i="6"/>
  <c r="C63" i="6"/>
  <c r="M63" i="6"/>
  <c r="BU63" i="6"/>
  <c r="C67" i="6"/>
  <c r="M67" i="6"/>
  <c r="BU67" i="6"/>
  <c r="C71" i="6"/>
  <c r="M71" i="6"/>
  <c r="BU71" i="6"/>
  <c r="C75" i="6"/>
  <c r="M75" i="6"/>
  <c r="BU75" i="6"/>
  <c r="C79" i="6"/>
  <c r="M79" i="6"/>
  <c r="BU79" i="6"/>
  <c r="C83" i="6"/>
  <c r="M83" i="6"/>
  <c r="BU83" i="6"/>
  <c r="C87" i="6"/>
  <c r="M87" i="6"/>
  <c r="BU87" i="6"/>
  <c r="C91" i="6"/>
  <c r="M91" i="6"/>
  <c r="BU91" i="6"/>
  <c r="C95" i="6"/>
  <c r="M95" i="6"/>
  <c r="BU95" i="6"/>
  <c r="C99" i="6"/>
  <c r="M99" i="6"/>
  <c r="BU99" i="6"/>
  <c r="C103" i="6"/>
  <c r="M103" i="6"/>
  <c r="BU103" i="6"/>
  <c r="C107" i="6"/>
  <c r="M107" i="6"/>
  <c r="BU107" i="6"/>
  <c r="C127" i="6"/>
  <c r="M127" i="6"/>
  <c r="BU127" i="6"/>
  <c r="C115" i="6"/>
  <c r="M115" i="6"/>
  <c r="BU115" i="6"/>
  <c r="C26" i="6"/>
  <c r="M26" i="6"/>
  <c r="BU26" i="6"/>
  <c r="C38" i="6"/>
  <c r="M38" i="6"/>
  <c r="BU38" i="6"/>
  <c r="C54" i="6"/>
  <c r="M54" i="6"/>
  <c r="BU54" i="6"/>
  <c r="C66" i="6"/>
  <c r="M66" i="6"/>
  <c r="BU66" i="6"/>
  <c r="C86" i="6"/>
  <c r="M86" i="6"/>
  <c r="BU86" i="6"/>
  <c r="C133" i="6"/>
  <c r="M133" i="6"/>
  <c r="BU133" i="6"/>
  <c r="C129" i="6"/>
  <c r="M129" i="6"/>
  <c r="BU129" i="6"/>
  <c r="C125" i="6"/>
  <c r="M125" i="6"/>
  <c r="BU125" i="6"/>
  <c r="C121" i="6"/>
  <c r="M121" i="6"/>
  <c r="BU121" i="6"/>
  <c r="C117" i="6"/>
  <c r="M117" i="6"/>
  <c r="BU117" i="6"/>
  <c r="C113" i="6"/>
  <c r="M113" i="6"/>
  <c r="BU113" i="6"/>
  <c r="C111" i="6"/>
  <c r="M111" i="6"/>
  <c r="BU111" i="6"/>
  <c r="C16" i="6"/>
  <c r="M16" i="6"/>
  <c r="BU16" i="6"/>
  <c r="C20" i="6"/>
  <c r="M20" i="6"/>
  <c r="BU20" i="6"/>
  <c r="C24" i="6"/>
  <c r="M24" i="6"/>
  <c r="BU24" i="6"/>
  <c r="C28" i="6"/>
  <c r="M28" i="6"/>
  <c r="BU28" i="6"/>
  <c r="C36" i="6"/>
  <c r="M36" i="6"/>
  <c r="BU36" i="6"/>
  <c r="C40" i="6"/>
  <c r="M40" i="6"/>
  <c r="BU40" i="6"/>
  <c r="C44" i="6"/>
  <c r="M44" i="6"/>
  <c r="BU44" i="6"/>
  <c r="C48" i="6"/>
  <c r="M48" i="6"/>
  <c r="BU48" i="6"/>
  <c r="C52" i="6"/>
  <c r="M52" i="6"/>
  <c r="BU52" i="6"/>
  <c r="C56" i="6"/>
  <c r="M56" i="6"/>
  <c r="BU56" i="6"/>
  <c r="C60" i="6"/>
  <c r="M60" i="6"/>
  <c r="BU60" i="6"/>
  <c r="C64" i="6"/>
  <c r="M64" i="6"/>
  <c r="BU64" i="6"/>
  <c r="C68" i="6"/>
  <c r="M68" i="6"/>
  <c r="BU68" i="6"/>
  <c r="C72" i="6"/>
  <c r="M72" i="6"/>
  <c r="BU72" i="6"/>
  <c r="C76" i="6"/>
  <c r="M76" i="6"/>
  <c r="BU76" i="6"/>
  <c r="C80" i="6"/>
  <c r="M80" i="6"/>
  <c r="BU80" i="6"/>
  <c r="C84" i="6"/>
  <c r="M84" i="6"/>
  <c r="BU84" i="6"/>
  <c r="C88" i="6"/>
  <c r="M88" i="6"/>
  <c r="BU88" i="6"/>
  <c r="C92" i="6"/>
  <c r="M92" i="6"/>
  <c r="BU92" i="6"/>
  <c r="C96" i="6"/>
  <c r="M96" i="6"/>
  <c r="BU96" i="6"/>
  <c r="C100" i="6"/>
  <c r="M100" i="6"/>
  <c r="BU100" i="6"/>
  <c r="C104" i="6"/>
  <c r="M104" i="6"/>
  <c r="BU104" i="6"/>
  <c r="C108" i="6"/>
  <c r="M108" i="6"/>
  <c r="BU108" i="6"/>
  <c r="AC53" i="6"/>
  <c r="B15" i="6"/>
  <c r="L15" i="6"/>
  <c r="B175" i="6"/>
  <c r="L175" i="6"/>
  <c r="B171" i="6"/>
  <c r="L171" i="6"/>
  <c r="B28" i="6"/>
  <c r="L28" i="6"/>
  <c r="S32" i="6"/>
  <c r="AC32" i="6"/>
  <c r="AM32" i="6"/>
  <c r="AM67" i="6"/>
  <c r="AT67" i="6"/>
  <c r="BS31" i="6"/>
  <c r="BS55" i="6"/>
  <c r="BS79" i="6"/>
  <c r="BS103" i="6"/>
  <c r="BS127" i="6"/>
  <c r="BS151" i="6"/>
  <c r="BS175" i="6"/>
  <c r="B164" i="6"/>
  <c r="L164" i="6"/>
  <c r="AC61" i="6"/>
  <c r="AC66" i="6"/>
  <c r="AC62" i="6"/>
  <c r="AC58" i="6"/>
  <c r="AC54" i="6"/>
  <c r="E10" i="8"/>
  <c r="E6" i="8"/>
  <c r="D10" i="8"/>
  <c r="B168" i="6"/>
  <c r="L168" i="6"/>
  <c r="B24" i="6"/>
  <c r="L24" i="6"/>
  <c r="B172" i="6"/>
  <c r="L172" i="6"/>
  <c r="B16" i="6"/>
  <c r="L16" i="6"/>
  <c r="B138" i="6"/>
  <c r="L138" i="6"/>
  <c r="B162" i="6"/>
  <c r="L162" i="6"/>
  <c r="B18" i="6"/>
  <c r="L18" i="6"/>
  <c r="B114" i="6"/>
  <c r="L114" i="6"/>
  <c r="B90" i="6"/>
  <c r="L90" i="6"/>
  <c r="B66" i="6"/>
  <c r="L66" i="6"/>
  <c r="B42" i="6"/>
  <c r="L42" i="6"/>
  <c r="B142" i="6"/>
  <c r="L142" i="6"/>
  <c r="B166" i="6"/>
  <c r="L166" i="6"/>
  <c r="B22" i="6"/>
  <c r="L22" i="6"/>
  <c r="B118" i="6"/>
  <c r="L118" i="6"/>
  <c r="B94" i="6"/>
  <c r="L94" i="6"/>
  <c r="B70" i="6"/>
  <c r="L70" i="6"/>
  <c r="B46" i="6"/>
  <c r="L46" i="6"/>
  <c r="B146" i="6"/>
  <c r="L146" i="6"/>
  <c r="B170" i="6"/>
  <c r="L170" i="6"/>
  <c r="B26" i="6"/>
  <c r="L26" i="6"/>
  <c r="B122" i="6"/>
  <c r="L122" i="6"/>
  <c r="B98" i="6"/>
  <c r="L98" i="6"/>
  <c r="B74" i="6"/>
  <c r="L74" i="6"/>
  <c r="B50" i="6"/>
  <c r="L50" i="6"/>
  <c r="B150" i="6"/>
  <c r="L150" i="6"/>
  <c r="B174" i="6"/>
  <c r="L174" i="6"/>
  <c r="B30" i="6"/>
  <c r="L30" i="6"/>
  <c r="B126" i="6"/>
  <c r="L126" i="6"/>
  <c r="B102" i="6"/>
  <c r="L102" i="6"/>
  <c r="B78" i="6"/>
  <c r="L78" i="6"/>
  <c r="B54" i="6"/>
  <c r="L54" i="6"/>
  <c r="B161" i="6"/>
  <c r="L161" i="6"/>
  <c r="B137" i="6"/>
  <c r="L137" i="6"/>
  <c r="B113" i="6"/>
  <c r="L113" i="6"/>
  <c r="B89" i="6"/>
  <c r="L89" i="6"/>
  <c r="B65" i="6"/>
  <c r="L65" i="6"/>
  <c r="B41" i="6"/>
  <c r="L41" i="6"/>
  <c r="B17" i="6"/>
  <c r="L17" i="6"/>
  <c r="B165" i="6"/>
  <c r="L165" i="6"/>
  <c r="B117" i="6"/>
  <c r="L117" i="6"/>
  <c r="B93" i="6"/>
  <c r="L93" i="6"/>
  <c r="B69" i="6"/>
  <c r="L69" i="6"/>
  <c r="B45" i="6"/>
  <c r="L45" i="6"/>
  <c r="B141" i="6"/>
  <c r="L141" i="6"/>
  <c r="B21" i="6"/>
  <c r="L21" i="6"/>
  <c r="B169" i="6"/>
  <c r="L169" i="6"/>
  <c r="B121" i="6"/>
  <c r="L121" i="6"/>
  <c r="B97" i="6"/>
  <c r="L97" i="6"/>
  <c r="B73" i="6"/>
  <c r="L73" i="6"/>
  <c r="B49" i="6"/>
  <c r="L49" i="6"/>
  <c r="B145" i="6"/>
  <c r="L145" i="6"/>
  <c r="B25" i="6"/>
  <c r="L25" i="6"/>
  <c r="B173" i="6"/>
  <c r="L173" i="6"/>
  <c r="B149" i="6"/>
  <c r="L149" i="6"/>
  <c r="B125" i="6"/>
  <c r="L125" i="6"/>
  <c r="B101" i="6"/>
  <c r="L101" i="6"/>
  <c r="B77" i="6"/>
  <c r="L77" i="6"/>
  <c r="B53" i="6"/>
  <c r="L53" i="6"/>
  <c r="B29" i="6"/>
  <c r="L29" i="6"/>
  <c r="B135" i="6"/>
  <c r="L135" i="6"/>
  <c r="B148" i="6"/>
  <c r="L148" i="6"/>
  <c r="B143" i="6"/>
  <c r="L143" i="6"/>
  <c r="B136" i="6"/>
  <c r="L136" i="6"/>
  <c r="B44" i="6"/>
  <c r="L44" i="6"/>
  <c r="B40" i="6"/>
  <c r="L40" i="6"/>
  <c r="B76" i="6"/>
  <c r="L76" i="6"/>
  <c r="B72" i="6"/>
  <c r="L72" i="6"/>
  <c r="B68" i="6"/>
  <c r="L68" i="6"/>
  <c r="B64" i="6"/>
  <c r="L64" i="6"/>
  <c r="B100" i="6"/>
  <c r="L100" i="6"/>
  <c r="B96" i="6"/>
  <c r="L96" i="6"/>
  <c r="B92" i="6"/>
  <c r="L92" i="6"/>
  <c r="B88" i="6"/>
  <c r="L88" i="6"/>
  <c r="B124" i="6"/>
  <c r="L124" i="6"/>
  <c r="B120" i="6"/>
  <c r="L120" i="6"/>
  <c r="B116" i="6"/>
  <c r="L116" i="6"/>
  <c r="B112" i="6"/>
  <c r="L112" i="6"/>
  <c r="B147" i="6"/>
  <c r="L147" i="6"/>
  <c r="B31" i="6"/>
  <c r="L31" i="6"/>
  <c r="B27" i="6"/>
  <c r="L27" i="6"/>
  <c r="B23" i="6"/>
  <c r="L23" i="6"/>
  <c r="B19" i="6"/>
  <c r="L19" i="6"/>
  <c r="B63" i="6"/>
  <c r="L63" i="6"/>
  <c r="B87" i="6"/>
  <c r="L87" i="6"/>
  <c r="B111" i="6"/>
  <c r="L111" i="6"/>
  <c r="B151" i="6"/>
  <c r="L151" i="6"/>
  <c r="B140" i="6"/>
  <c r="L140" i="6"/>
  <c r="B39" i="6"/>
  <c r="L39" i="6"/>
  <c r="B55" i="6"/>
  <c r="L55" i="6"/>
  <c r="B51" i="6"/>
  <c r="L51" i="6"/>
  <c r="B47" i="6"/>
  <c r="L47" i="6"/>
  <c r="B43" i="6"/>
  <c r="L43" i="6"/>
  <c r="B79" i="6"/>
  <c r="L79" i="6"/>
  <c r="B75" i="6"/>
  <c r="L75" i="6"/>
  <c r="B71" i="6"/>
  <c r="L71" i="6"/>
  <c r="B67" i="6"/>
  <c r="L67" i="6"/>
  <c r="B103" i="6"/>
  <c r="L103" i="6"/>
  <c r="B99" i="6"/>
  <c r="L99" i="6"/>
  <c r="B95" i="6"/>
  <c r="L95" i="6"/>
  <c r="B91" i="6"/>
  <c r="L91" i="6"/>
  <c r="B127" i="6"/>
  <c r="L127" i="6"/>
  <c r="B123" i="6"/>
  <c r="L123" i="6"/>
  <c r="B119" i="6"/>
  <c r="L119" i="6"/>
  <c r="B115" i="6"/>
  <c r="L115" i="6"/>
  <c r="B144" i="6"/>
  <c r="L144" i="6"/>
  <c r="B139" i="6"/>
  <c r="L139" i="6"/>
  <c r="H6" i="1"/>
  <c r="H7" i="1"/>
  <c r="H8" i="1"/>
  <c r="H9" i="1"/>
  <c r="I9" i="1"/>
  <c r="H10" i="1"/>
  <c r="H11" i="1"/>
  <c r="H5" i="1"/>
  <c r="E6" i="1"/>
  <c r="E7" i="1"/>
  <c r="E8" i="1"/>
  <c r="E9" i="1"/>
  <c r="E10" i="1"/>
  <c r="E11" i="1"/>
  <c r="E5" i="1"/>
  <c r="R131" i="25"/>
  <c r="R82" i="25"/>
  <c r="R79" i="25"/>
  <c r="R121" i="25"/>
  <c r="R95" i="25"/>
  <c r="R46" i="25"/>
  <c r="R88" i="25"/>
  <c r="R16" i="25"/>
  <c r="I11" i="1"/>
  <c r="I7" i="1"/>
  <c r="R61" i="25"/>
  <c r="R127" i="25"/>
  <c r="R55" i="25"/>
  <c r="R98" i="25"/>
  <c r="R25" i="25"/>
  <c r="R45" i="25"/>
  <c r="R18" i="25"/>
  <c r="R60" i="25"/>
  <c r="R34" i="25"/>
  <c r="R123" i="25"/>
  <c r="R74" i="25"/>
  <c r="R117" i="25"/>
  <c r="R112" i="25"/>
  <c r="R15" i="25"/>
  <c r="I5" i="1"/>
  <c r="I8" i="1"/>
  <c r="R108" i="25"/>
  <c r="R38" i="25"/>
  <c r="R106" i="25"/>
  <c r="R59" i="25"/>
  <c r="R36" i="25"/>
  <c r="R104" i="25"/>
  <c r="R57" i="25"/>
  <c r="R33" i="25"/>
  <c r="R124" i="25"/>
  <c r="R32" i="25"/>
  <c r="R100" i="25"/>
  <c r="R53" i="25"/>
  <c r="R29" i="25"/>
  <c r="R97" i="25"/>
  <c r="R28" i="25"/>
  <c r="R27" i="25"/>
  <c r="R49" i="25"/>
  <c r="R94" i="25"/>
  <c r="R116" i="25"/>
  <c r="R47" i="25"/>
  <c r="R115" i="25"/>
  <c r="R68" i="25"/>
  <c r="R44" i="25"/>
  <c r="R20" i="25"/>
  <c r="R64" i="25"/>
  <c r="R89" i="25"/>
  <c r="R113" i="25"/>
  <c r="R87" i="25"/>
  <c r="R110" i="25"/>
  <c r="R109" i="25"/>
  <c r="R62" i="25"/>
  <c r="R107" i="25"/>
  <c r="R83" i="25"/>
  <c r="R105" i="25"/>
  <c r="R35" i="25"/>
  <c r="R81" i="25"/>
  <c r="R80" i="25"/>
  <c r="R125" i="25"/>
  <c r="R101" i="25"/>
  <c r="R77" i="25"/>
  <c r="R54" i="25"/>
  <c r="R76" i="25"/>
  <c r="R52" i="25"/>
  <c r="R51" i="25"/>
  <c r="R96" i="25"/>
  <c r="R50" i="25"/>
  <c r="R118" i="25"/>
  <c r="R71" i="25"/>
  <c r="R93" i="25"/>
  <c r="R69" i="25"/>
  <c r="R92" i="25"/>
  <c r="R22" i="25"/>
  <c r="R67" i="25"/>
  <c r="R66" i="25"/>
  <c r="R19" i="25"/>
  <c r="R41" i="25"/>
  <c r="R17" i="25"/>
  <c r="R7" i="25"/>
  <c r="R63" i="25"/>
  <c r="CZ3" i="20"/>
  <c r="R85" i="25"/>
  <c r="R84" i="25"/>
  <c r="R130" i="25"/>
  <c r="R129" i="25"/>
  <c r="R128" i="25"/>
  <c r="R58" i="25"/>
  <c r="R126" i="25"/>
  <c r="R103" i="25"/>
  <c r="R56" i="25"/>
  <c r="R78" i="25"/>
  <c r="R31" i="25"/>
  <c r="R122" i="25"/>
  <c r="R99" i="25"/>
  <c r="R75" i="25"/>
  <c r="R120" i="25"/>
  <c r="R73" i="25"/>
  <c r="R26" i="25"/>
  <c r="R72" i="25"/>
  <c r="R48" i="25"/>
  <c r="R24" i="25"/>
  <c r="R23" i="25"/>
  <c r="R91" i="25"/>
  <c r="R114" i="25"/>
  <c r="R90" i="25"/>
  <c r="R43" i="25"/>
  <c r="R42" i="25"/>
  <c r="R40" i="25"/>
  <c r="R39" i="25"/>
  <c r="R132" i="25"/>
  <c r="R86" i="25"/>
  <c r="I10" i="1"/>
  <c r="I6" i="1"/>
  <c r="I14" i="1"/>
  <c r="T10" i="25"/>
  <c r="C11" i="6"/>
  <c r="F25" i="6"/>
  <c r="J25" i="6"/>
  <c r="S33" i="6"/>
  <c r="AC33" i="6"/>
  <c r="AM33" i="6"/>
  <c r="AM68" i="6"/>
  <c r="AT68" i="6"/>
  <c r="BS32" i="6"/>
  <c r="BS56" i="6"/>
  <c r="BS80" i="6"/>
  <c r="BS104" i="6"/>
  <c r="BS128" i="6"/>
  <c r="BS152" i="6"/>
  <c r="BS176" i="6"/>
  <c r="E13" i="1"/>
  <c r="F9" i="1"/>
  <c r="R8" i="25"/>
  <c r="T12" i="25"/>
  <c r="T18" i="25"/>
  <c r="T94" i="25"/>
  <c r="T38" i="25"/>
  <c r="T74" i="25"/>
  <c r="T89" i="25"/>
  <c r="T63" i="25"/>
  <c r="T122" i="25"/>
  <c r="T76" i="25"/>
  <c r="T49" i="25"/>
  <c r="T108" i="25"/>
  <c r="T98" i="25"/>
  <c r="T64" i="25"/>
  <c r="T17" i="25"/>
  <c r="T48" i="25"/>
  <c r="T31" i="25"/>
  <c r="T130" i="25"/>
  <c r="T77" i="25"/>
  <c r="T132" i="25"/>
  <c r="T20" i="25"/>
  <c r="T27" i="25"/>
  <c r="T33" i="25"/>
  <c r="T111" i="25"/>
  <c r="T46" i="25"/>
  <c r="T121" i="25"/>
  <c r="T82" i="25"/>
  <c r="T87" i="25"/>
  <c r="T69" i="25"/>
  <c r="T105" i="25"/>
  <c r="T91" i="25"/>
  <c r="T75" i="25"/>
  <c r="T58" i="25"/>
  <c r="T96" i="25"/>
  <c r="T107" i="25"/>
  <c r="T44" i="25"/>
  <c r="T28" i="25"/>
  <c r="T57" i="25"/>
  <c r="T39" i="25"/>
  <c r="T70" i="25"/>
  <c r="T30" i="25"/>
  <c r="T37" i="25"/>
  <c r="T67" i="25"/>
  <c r="T54" i="25"/>
  <c r="T19" i="25"/>
  <c r="T26" i="25"/>
  <c r="T56" i="25"/>
  <c r="T85" i="25"/>
  <c r="T80" i="25"/>
  <c r="F34" i="6"/>
  <c r="J34" i="6"/>
  <c r="F160" i="6"/>
  <c r="J160" i="6"/>
  <c r="F44" i="6"/>
  <c r="J44" i="6"/>
  <c r="F28" i="6"/>
  <c r="J28" i="6"/>
  <c r="F164" i="6"/>
  <c r="J164" i="6"/>
  <c r="F90" i="6"/>
  <c r="J90" i="6"/>
  <c r="F144" i="6"/>
  <c r="J144" i="6"/>
  <c r="F99" i="6"/>
  <c r="J99" i="6"/>
  <c r="F110" i="6"/>
  <c r="J110" i="6"/>
  <c r="F72" i="6"/>
  <c r="J72" i="6"/>
  <c r="F123" i="6"/>
  <c r="J123" i="6"/>
  <c r="F50" i="6"/>
  <c r="J50" i="6"/>
  <c r="F158" i="6"/>
  <c r="J158" i="6"/>
  <c r="F39" i="6"/>
  <c r="F154" i="6"/>
  <c r="J154" i="6"/>
  <c r="F162" i="6"/>
  <c r="J162" i="6"/>
  <c r="F125" i="6"/>
  <c r="J125" i="6"/>
  <c r="F66" i="6"/>
  <c r="J66" i="6"/>
  <c r="F147" i="6"/>
  <c r="J147" i="6"/>
  <c r="F55" i="6"/>
  <c r="F131" i="6"/>
  <c r="J131" i="6"/>
  <c r="F92" i="6"/>
  <c r="J92" i="6"/>
  <c r="F73" i="6"/>
  <c r="J73" i="6"/>
  <c r="F113" i="6"/>
  <c r="J113" i="6"/>
  <c r="F121" i="6"/>
  <c r="J121" i="6"/>
  <c r="F26" i="6"/>
  <c r="J26" i="6"/>
  <c r="F155" i="6"/>
  <c r="J155" i="6"/>
  <c r="F79" i="6"/>
  <c r="F84" i="6"/>
  <c r="J84" i="6"/>
  <c r="F163" i="6"/>
  <c r="J163" i="6"/>
  <c r="F88" i="6"/>
  <c r="J88" i="6"/>
  <c r="F94" i="6"/>
  <c r="J94" i="6"/>
  <c r="F83" i="6"/>
  <c r="J83" i="6"/>
  <c r="F53" i="6"/>
  <c r="J53" i="6"/>
  <c r="F27" i="6"/>
  <c r="J27" i="6"/>
  <c r="F145" i="6"/>
  <c r="J145" i="6"/>
  <c r="F43" i="6"/>
  <c r="J43" i="6"/>
  <c r="F93" i="6"/>
  <c r="J93" i="6"/>
  <c r="F138" i="6"/>
  <c r="J138" i="6"/>
  <c r="F98" i="6"/>
  <c r="J98" i="6"/>
  <c r="F118" i="6"/>
  <c r="J118" i="6"/>
  <c r="F71" i="6"/>
  <c r="F140" i="6"/>
  <c r="J140" i="6"/>
  <c r="F108" i="6"/>
  <c r="J108" i="6"/>
  <c r="F89" i="6"/>
  <c r="J89" i="6"/>
  <c r="F22" i="6"/>
  <c r="J22" i="6"/>
  <c r="F180" i="6"/>
  <c r="J180" i="6"/>
  <c r="F42" i="6"/>
  <c r="J42" i="6"/>
  <c r="F126" i="6"/>
  <c r="J126" i="6"/>
  <c r="F95" i="6"/>
  <c r="J95" i="6"/>
  <c r="F100" i="6"/>
  <c r="J100" i="6"/>
  <c r="F114" i="6"/>
  <c r="J114" i="6"/>
  <c r="F153" i="6"/>
  <c r="J153" i="6"/>
  <c r="F130" i="6"/>
  <c r="J130" i="6"/>
  <c r="F135" i="6"/>
  <c r="J135" i="6"/>
  <c r="F77" i="6"/>
  <c r="J77" i="6"/>
  <c r="F59" i="6"/>
  <c r="J59" i="6"/>
  <c r="F61" i="6"/>
  <c r="J61" i="6"/>
  <c r="F107" i="6"/>
  <c r="J107" i="6"/>
  <c r="F36" i="6"/>
  <c r="J36" i="6"/>
  <c r="F171" i="6"/>
  <c r="J171" i="6"/>
  <c r="F103" i="6"/>
  <c r="J103" i="6"/>
  <c r="F120" i="6"/>
  <c r="J120" i="6"/>
  <c r="F70" i="6"/>
  <c r="J70" i="6"/>
  <c r="F15" i="6"/>
  <c r="F170" i="6"/>
  <c r="J170" i="6"/>
  <c r="F65" i="6"/>
  <c r="J65" i="6"/>
  <c r="F117" i="6"/>
  <c r="J117" i="6"/>
  <c r="F161" i="6"/>
  <c r="J161" i="6"/>
  <c r="F174" i="6"/>
  <c r="J174" i="6"/>
  <c r="F20" i="6"/>
  <c r="J20" i="6"/>
  <c r="F29" i="6"/>
  <c r="J29" i="6"/>
  <c r="F60" i="6"/>
  <c r="J60" i="6"/>
  <c r="F21" i="6"/>
  <c r="J21" i="6"/>
  <c r="F86" i="6"/>
  <c r="J86" i="6"/>
  <c r="F133" i="6"/>
  <c r="J133" i="6"/>
  <c r="F106" i="6"/>
  <c r="J106" i="6"/>
  <c r="F31" i="6"/>
  <c r="J31" i="6"/>
  <c r="F136" i="6"/>
  <c r="J136" i="6"/>
  <c r="F141" i="6"/>
  <c r="J141" i="6"/>
  <c r="F156" i="6"/>
  <c r="J156" i="6"/>
  <c r="F85" i="6"/>
  <c r="J85" i="6"/>
  <c r="F172" i="6"/>
  <c r="J172" i="6"/>
  <c r="F104" i="6"/>
  <c r="J104" i="6"/>
  <c r="F62" i="6"/>
  <c r="J62" i="6"/>
  <c r="F48" i="6"/>
  <c r="J48" i="6"/>
  <c r="F32" i="6"/>
  <c r="J32" i="6"/>
  <c r="F69" i="6"/>
  <c r="J69" i="6"/>
  <c r="F96" i="6"/>
  <c r="J96" i="6"/>
  <c r="F178" i="6"/>
  <c r="J178" i="6"/>
  <c r="F41" i="6"/>
  <c r="J41" i="6"/>
  <c r="F105" i="6"/>
  <c r="J105" i="6"/>
  <c r="F33" i="6"/>
  <c r="J33" i="6"/>
  <c r="F38" i="6"/>
  <c r="J38" i="6"/>
  <c r="F102" i="6"/>
  <c r="J102" i="6"/>
  <c r="F151" i="6"/>
  <c r="J151" i="6"/>
  <c r="F167" i="6"/>
  <c r="J167" i="6"/>
  <c r="F58" i="6"/>
  <c r="J58" i="6"/>
  <c r="F179" i="6"/>
  <c r="J179" i="6"/>
  <c r="F168" i="6"/>
  <c r="J168" i="6"/>
  <c r="F47" i="6"/>
  <c r="J47" i="6"/>
  <c r="F134" i="6"/>
  <c r="J134" i="6"/>
  <c r="F52" i="6"/>
  <c r="J52" i="6"/>
  <c r="F157" i="6"/>
  <c r="J157" i="6"/>
  <c r="F112" i="6"/>
  <c r="J112" i="6"/>
  <c r="F35" i="6"/>
  <c r="J35" i="6"/>
  <c r="F119" i="6"/>
  <c r="J119" i="6"/>
  <c r="F166" i="6"/>
  <c r="J166" i="6"/>
  <c r="F37" i="6"/>
  <c r="J37" i="6"/>
  <c r="F129" i="6"/>
  <c r="J129" i="6"/>
  <c r="F19" i="6"/>
  <c r="J19" i="6"/>
  <c r="F127" i="6"/>
  <c r="J127" i="6"/>
  <c r="F124" i="6"/>
  <c r="J124" i="6"/>
  <c r="F97" i="6"/>
  <c r="J97" i="6"/>
  <c r="F175" i="6"/>
  <c r="J175" i="6"/>
  <c r="F91" i="6"/>
  <c r="J91" i="6"/>
  <c r="F80" i="6"/>
  <c r="J80" i="6"/>
  <c r="F81" i="6"/>
  <c r="J81" i="6"/>
  <c r="F109" i="6"/>
  <c r="J109" i="6"/>
  <c r="F177" i="6"/>
  <c r="J177" i="6"/>
  <c r="F115" i="6"/>
  <c r="J115" i="6"/>
  <c r="F64" i="6"/>
  <c r="J64" i="6"/>
  <c r="F49" i="6"/>
  <c r="J49" i="6"/>
  <c r="F17" i="6"/>
  <c r="J17" i="6"/>
  <c r="F18" i="6"/>
  <c r="J18" i="6"/>
  <c r="F82" i="6"/>
  <c r="J82" i="6"/>
  <c r="F176" i="6"/>
  <c r="J176" i="6"/>
  <c r="F23" i="6"/>
  <c r="J23" i="6"/>
  <c r="F87" i="6"/>
  <c r="J87" i="6"/>
  <c r="F148" i="6"/>
  <c r="J148" i="6"/>
  <c r="F76" i="6"/>
  <c r="J76" i="6"/>
  <c r="F149" i="6"/>
  <c r="J149" i="6"/>
  <c r="F57" i="6"/>
  <c r="J57" i="6"/>
  <c r="F169" i="6"/>
  <c r="J169" i="6"/>
  <c r="F146" i="6"/>
  <c r="J146" i="6"/>
  <c r="F54" i="6"/>
  <c r="J54" i="6"/>
  <c r="F159" i="6"/>
  <c r="J159" i="6"/>
  <c r="F122" i="6"/>
  <c r="J122" i="6"/>
  <c r="F111" i="6"/>
  <c r="J111" i="6"/>
  <c r="F74" i="6"/>
  <c r="J74" i="6"/>
  <c r="F142" i="6"/>
  <c r="J142" i="6"/>
  <c r="F139" i="6"/>
  <c r="J139" i="6"/>
  <c r="F63" i="6"/>
  <c r="J63" i="6"/>
  <c r="F152" i="6"/>
  <c r="J152" i="6"/>
  <c r="F68" i="6"/>
  <c r="J68" i="6"/>
  <c r="F128" i="6"/>
  <c r="J128" i="6"/>
  <c r="F78" i="6"/>
  <c r="J78" i="6"/>
  <c r="F67" i="6"/>
  <c r="J67" i="6"/>
  <c r="F56" i="6"/>
  <c r="J56" i="6"/>
  <c r="F45" i="6"/>
  <c r="J45" i="6"/>
  <c r="F30" i="6"/>
  <c r="J30" i="6"/>
  <c r="F46" i="6"/>
  <c r="J46" i="6"/>
  <c r="F51" i="6"/>
  <c r="J51" i="6"/>
  <c r="F40" i="6"/>
  <c r="J40" i="6"/>
  <c r="F137" i="6"/>
  <c r="J137" i="6"/>
  <c r="F165" i="6"/>
  <c r="J165" i="6"/>
  <c r="F143" i="6"/>
  <c r="J143" i="6"/>
  <c r="F150" i="6"/>
  <c r="J150" i="6"/>
  <c r="F132" i="6"/>
  <c r="J132" i="6"/>
  <c r="F101" i="6"/>
  <c r="J101" i="6"/>
  <c r="F24" i="6"/>
  <c r="J24" i="6"/>
  <c r="F75" i="6"/>
  <c r="J75" i="6"/>
  <c r="F116" i="6"/>
  <c r="J116" i="6"/>
  <c r="F173" i="6"/>
  <c r="J173" i="6"/>
  <c r="F16" i="6"/>
  <c r="J16" i="6"/>
  <c r="B176" i="6"/>
  <c r="L176" i="6"/>
  <c r="B56" i="6"/>
  <c r="L56" i="6"/>
  <c r="B80" i="6"/>
  <c r="L80" i="6"/>
  <c r="B128" i="6"/>
  <c r="L128" i="6"/>
  <c r="B152" i="6"/>
  <c r="L152" i="6"/>
  <c r="B32" i="6"/>
  <c r="L32" i="6"/>
  <c r="AC70" i="6"/>
  <c r="B104" i="6"/>
  <c r="L104" i="6"/>
  <c r="S34" i="6"/>
  <c r="AC34" i="6"/>
  <c r="AM34" i="6"/>
  <c r="AM69" i="6"/>
  <c r="AT69" i="6"/>
  <c r="BS33" i="6"/>
  <c r="BS57" i="6"/>
  <c r="BS81" i="6"/>
  <c r="BS105" i="6"/>
  <c r="BS129" i="6"/>
  <c r="BS153" i="6"/>
  <c r="BS177" i="6"/>
  <c r="F8" i="1"/>
  <c r="K5" i="1"/>
  <c r="F11" i="1"/>
  <c r="K11" i="1"/>
  <c r="F7" i="1"/>
  <c r="F10" i="1"/>
  <c r="F5" i="1"/>
  <c r="F6" i="1"/>
  <c r="J55" i="6"/>
  <c r="J71" i="6"/>
  <c r="J15" i="6"/>
  <c r="J79" i="6"/>
  <c r="J39" i="6"/>
  <c r="T109" i="25"/>
  <c r="T128" i="25"/>
  <c r="T23" i="25"/>
  <c r="T93" i="25"/>
  <c r="T102" i="25"/>
  <c r="T21" i="25"/>
  <c r="T100" i="25"/>
  <c r="T65" i="25"/>
  <c r="T84" i="25"/>
  <c r="T72" i="25"/>
  <c r="T51" i="25"/>
  <c r="T131" i="25"/>
  <c r="T95" i="25"/>
  <c r="T59" i="25"/>
  <c r="T47" i="25"/>
  <c r="H8" i="25"/>
  <c r="T126" i="25"/>
  <c r="T114" i="25"/>
  <c r="T92" i="25"/>
  <c r="T55" i="25"/>
  <c r="T42" i="25"/>
  <c r="T29" i="25"/>
  <c r="T35" i="25"/>
  <c r="T103" i="25"/>
  <c r="T90" i="25"/>
  <c r="T22" i="25"/>
  <c r="T123" i="25"/>
  <c r="T40" i="25"/>
  <c r="T97" i="25"/>
  <c r="T15" i="25"/>
  <c r="T52" i="25"/>
  <c r="T99" i="25"/>
  <c r="T62" i="25"/>
  <c r="T113" i="25"/>
  <c r="T119" i="25"/>
  <c r="T106" i="25"/>
  <c r="T116" i="25"/>
  <c r="T125" i="25"/>
  <c r="T78" i="25"/>
  <c r="T41" i="25"/>
  <c r="T66" i="25"/>
  <c r="T79" i="25"/>
  <c r="T43" i="25"/>
  <c r="T53" i="25"/>
  <c r="T86" i="25"/>
  <c r="T118" i="25"/>
  <c r="T120" i="25"/>
  <c r="T81" i="25"/>
  <c r="T61" i="25"/>
  <c r="T25" i="25"/>
  <c r="T36" i="25"/>
  <c r="T115" i="25"/>
  <c r="T110" i="25"/>
  <c r="T73" i="25"/>
  <c r="T101" i="25"/>
  <c r="T60" i="25"/>
  <c r="T117" i="25"/>
  <c r="T104" i="25"/>
  <c r="T68" i="25"/>
  <c r="T50" i="25"/>
  <c r="T127" i="25"/>
  <c r="T45" i="25"/>
  <c r="T124" i="25"/>
  <c r="T88" i="25"/>
  <c r="T129" i="25"/>
  <c r="T24" i="25"/>
  <c r="T71" i="25"/>
  <c r="T34" i="25"/>
  <c r="T112" i="25"/>
  <c r="T32" i="25"/>
  <c r="T83" i="25"/>
  <c r="T16" i="25"/>
  <c r="T7" i="25"/>
  <c r="H7" i="25"/>
  <c r="H9" i="25"/>
  <c r="AC71" i="6"/>
  <c r="B81" i="6"/>
  <c r="L81" i="6"/>
  <c r="B129" i="6"/>
  <c r="L129" i="6"/>
  <c r="B177" i="6"/>
  <c r="L177" i="6"/>
  <c r="B57" i="6"/>
  <c r="L57" i="6"/>
  <c r="B105" i="6"/>
  <c r="L105" i="6"/>
  <c r="B33" i="6"/>
  <c r="L33" i="6"/>
  <c r="B153" i="6"/>
  <c r="L153" i="6"/>
  <c r="BS34" i="6"/>
  <c r="BS58" i="6"/>
  <c r="BS82" i="6"/>
  <c r="BS106" i="6"/>
  <c r="BS130" i="6"/>
  <c r="BS154" i="6"/>
  <c r="BS178" i="6"/>
  <c r="S35" i="6"/>
  <c r="AC35" i="6"/>
  <c r="AM35" i="6"/>
  <c r="AM70" i="6"/>
  <c r="AT70" i="6"/>
  <c r="F14" i="1"/>
  <c r="I16" i="1"/>
  <c r="J11" i="6"/>
  <c r="T8" i="25"/>
  <c r="AL133" i="25"/>
  <c r="AM133" i="25"/>
  <c r="AL137" i="25"/>
  <c r="AM137" i="25"/>
  <c r="AL141" i="25"/>
  <c r="AM141" i="25"/>
  <c r="AL132" i="25"/>
  <c r="AM132" i="25"/>
  <c r="AN132" i="25"/>
  <c r="AL134" i="25"/>
  <c r="AM134" i="25"/>
  <c r="AL138" i="25"/>
  <c r="AM138" i="25"/>
  <c r="AL142" i="25"/>
  <c r="AM142" i="25"/>
  <c r="AL135" i="25"/>
  <c r="AM135" i="25"/>
  <c r="AL139" i="25"/>
  <c r="AM139" i="25"/>
  <c r="AL143" i="25"/>
  <c r="AM143" i="25"/>
  <c r="AL136" i="25"/>
  <c r="AM136" i="25"/>
  <c r="AL140" i="25"/>
  <c r="AM140" i="25"/>
  <c r="AL16" i="25"/>
  <c r="AM16" i="25"/>
  <c r="AN16" i="25"/>
  <c r="AL20" i="25"/>
  <c r="AM20" i="25"/>
  <c r="AN20" i="25"/>
  <c r="AL24" i="25"/>
  <c r="AM24" i="25"/>
  <c r="AN24" i="25"/>
  <c r="AL28" i="25"/>
  <c r="AM28" i="25"/>
  <c r="AN28" i="25"/>
  <c r="AL32" i="25"/>
  <c r="AM32" i="25"/>
  <c r="AN32" i="25"/>
  <c r="AL36" i="25"/>
  <c r="AM36" i="25"/>
  <c r="AN36" i="25"/>
  <c r="AL40" i="25"/>
  <c r="AM40" i="25"/>
  <c r="AN40" i="25"/>
  <c r="AL44" i="25"/>
  <c r="AM44" i="25"/>
  <c r="AN44" i="25"/>
  <c r="AL48" i="25"/>
  <c r="AM48" i="25"/>
  <c r="AN48" i="25"/>
  <c r="AL52" i="25"/>
  <c r="AM52" i="25"/>
  <c r="AN52" i="25"/>
  <c r="AL56" i="25"/>
  <c r="AM56" i="25"/>
  <c r="AN56" i="25"/>
  <c r="AL60" i="25"/>
  <c r="AM60" i="25"/>
  <c r="AN60" i="25"/>
  <c r="AL64" i="25"/>
  <c r="AM64" i="25"/>
  <c r="AN64" i="25"/>
  <c r="AL68" i="25"/>
  <c r="AM68" i="25"/>
  <c r="AN68" i="25"/>
  <c r="AL72" i="25"/>
  <c r="AM72" i="25"/>
  <c r="AN72" i="25"/>
  <c r="AL76" i="25"/>
  <c r="AM76" i="25"/>
  <c r="AN76" i="25"/>
  <c r="AL80" i="25"/>
  <c r="AM80" i="25"/>
  <c r="AN80" i="25"/>
  <c r="AL84" i="25"/>
  <c r="AM84" i="25"/>
  <c r="AN84" i="25"/>
  <c r="AL88" i="25"/>
  <c r="AM88" i="25"/>
  <c r="AN88" i="25"/>
  <c r="AL92" i="25"/>
  <c r="AM92" i="25"/>
  <c r="AN92" i="25"/>
  <c r="AL96" i="25"/>
  <c r="AM96" i="25"/>
  <c r="AN96" i="25"/>
  <c r="AL100" i="25"/>
  <c r="AM100" i="25"/>
  <c r="AN100" i="25"/>
  <c r="AL104" i="25"/>
  <c r="AM104" i="25"/>
  <c r="AN104" i="25"/>
  <c r="AL108" i="25"/>
  <c r="AM108" i="25"/>
  <c r="AN108" i="25"/>
  <c r="AL112" i="25"/>
  <c r="AM112" i="25"/>
  <c r="AN112" i="25"/>
  <c r="AL116" i="25"/>
  <c r="AM116" i="25"/>
  <c r="AN116" i="25"/>
  <c r="AL120" i="25"/>
  <c r="AM120" i="25"/>
  <c r="AN120" i="25"/>
  <c r="AL124" i="25"/>
  <c r="AM124" i="25"/>
  <c r="AN124" i="25"/>
  <c r="AL128" i="25"/>
  <c r="AM128" i="25"/>
  <c r="AN128" i="25"/>
  <c r="AL15" i="25"/>
  <c r="AM15" i="25"/>
  <c r="AN15" i="25"/>
  <c r="AL17" i="25"/>
  <c r="AM17" i="25"/>
  <c r="AN17" i="25"/>
  <c r="AL21" i="25"/>
  <c r="AM21" i="25"/>
  <c r="AN21" i="25"/>
  <c r="AL25" i="25"/>
  <c r="AM25" i="25"/>
  <c r="AN25" i="25"/>
  <c r="AL29" i="25"/>
  <c r="AM29" i="25"/>
  <c r="AN29" i="25"/>
  <c r="AL33" i="25"/>
  <c r="AM33" i="25"/>
  <c r="AN33" i="25"/>
  <c r="AL37" i="25"/>
  <c r="AM37" i="25"/>
  <c r="AN37" i="25"/>
  <c r="AL41" i="25"/>
  <c r="AM41" i="25"/>
  <c r="AN41" i="25"/>
  <c r="AL45" i="25"/>
  <c r="AM45" i="25"/>
  <c r="AN45" i="25"/>
  <c r="AL49" i="25"/>
  <c r="AM49" i="25"/>
  <c r="AN49" i="25"/>
  <c r="AL53" i="25"/>
  <c r="AM53" i="25"/>
  <c r="AN53" i="25"/>
  <c r="AL57" i="25"/>
  <c r="AM57" i="25"/>
  <c r="AN57" i="25"/>
  <c r="AL61" i="25"/>
  <c r="AM61" i="25"/>
  <c r="AN61" i="25"/>
  <c r="AL65" i="25"/>
  <c r="AM65" i="25"/>
  <c r="AN65" i="25"/>
  <c r="AL69" i="25"/>
  <c r="AM69" i="25"/>
  <c r="AN69" i="25"/>
  <c r="AL73" i="25"/>
  <c r="AM73" i="25"/>
  <c r="AN73" i="25"/>
  <c r="AL77" i="25"/>
  <c r="AM77" i="25"/>
  <c r="AN77" i="25"/>
  <c r="AL81" i="25"/>
  <c r="AM81" i="25"/>
  <c r="AN81" i="25"/>
  <c r="AL85" i="25"/>
  <c r="AM85" i="25"/>
  <c r="AN85" i="25"/>
  <c r="AL89" i="25"/>
  <c r="AM89" i="25"/>
  <c r="AN89" i="25"/>
  <c r="AL93" i="25"/>
  <c r="AM93" i="25"/>
  <c r="AN93" i="25"/>
  <c r="AL97" i="25"/>
  <c r="AM97" i="25"/>
  <c r="AN97" i="25"/>
  <c r="AL101" i="25"/>
  <c r="AM101" i="25"/>
  <c r="AN101" i="25"/>
  <c r="AL105" i="25"/>
  <c r="AM105" i="25"/>
  <c r="AN105" i="25"/>
  <c r="AL109" i="25"/>
  <c r="AM109" i="25"/>
  <c r="AN109" i="25"/>
  <c r="AL113" i="25"/>
  <c r="AM113" i="25"/>
  <c r="AN113" i="25"/>
  <c r="AL117" i="25"/>
  <c r="AM117" i="25"/>
  <c r="AN117" i="25"/>
  <c r="AL121" i="25"/>
  <c r="AM121" i="25"/>
  <c r="AN121" i="25"/>
  <c r="AL125" i="25"/>
  <c r="AM125" i="25"/>
  <c r="AN125" i="25"/>
  <c r="AL129" i="25"/>
  <c r="AM129" i="25"/>
  <c r="AN129" i="25"/>
  <c r="AL27" i="25"/>
  <c r="AM27" i="25"/>
  <c r="AN27" i="25"/>
  <c r="AL59" i="25"/>
  <c r="AM59" i="25"/>
  <c r="AN59" i="25"/>
  <c r="AL83" i="25"/>
  <c r="AM83" i="25"/>
  <c r="AN83" i="25"/>
  <c r="AL107" i="25"/>
  <c r="AM107" i="25"/>
  <c r="AN107" i="25"/>
  <c r="AL123" i="25"/>
  <c r="AM123" i="25"/>
  <c r="AN123" i="25"/>
  <c r="AL22" i="25"/>
  <c r="AM22" i="25"/>
  <c r="AN22" i="25"/>
  <c r="AL30" i="25"/>
  <c r="AM30" i="25"/>
  <c r="AN30" i="25"/>
  <c r="AL38" i="25"/>
  <c r="AM38" i="25"/>
  <c r="AN38" i="25"/>
  <c r="AL46" i="25"/>
  <c r="AM46" i="25"/>
  <c r="AN46" i="25"/>
  <c r="AL54" i="25"/>
  <c r="AM54" i="25"/>
  <c r="AN54" i="25"/>
  <c r="AL62" i="25"/>
  <c r="AM62" i="25"/>
  <c r="AN62" i="25"/>
  <c r="AL70" i="25"/>
  <c r="AM70" i="25"/>
  <c r="AN70" i="25"/>
  <c r="AL78" i="25"/>
  <c r="AM78" i="25"/>
  <c r="AN78" i="25"/>
  <c r="AL86" i="25"/>
  <c r="AM86" i="25"/>
  <c r="AN86" i="25"/>
  <c r="AL94" i="25"/>
  <c r="AM94" i="25"/>
  <c r="AN94" i="25"/>
  <c r="AL102" i="25"/>
  <c r="AM102" i="25"/>
  <c r="AN102" i="25"/>
  <c r="AL110" i="25"/>
  <c r="AM110" i="25"/>
  <c r="AN110" i="25"/>
  <c r="AL118" i="25"/>
  <c r="AM118" i="25"/>
  <c r="AN118" i="25"/>
  <c r="AL126" i="25"/>
  <c r="AM126" i="25"/>
  <c r="AN126" i="25"/>
  <c r="AL23" i="25"/>
  <c r="AM23" i="25"/>
  <c r="AN23" i="25"/>
  <c r="AL31" i="25"/>
  <c r="AM31" i="25"/>
  <c r="AN31" i="25"/>
  <c r="AL39" i="25"/>
  <c r="AM39" i="25"/>
  <c r="AN39" i="25"/>
  <c r="AL47" i="25"/>
  <c r="AM47" i="25"/>
  <c r="AN47" i="25"/>
  <c r="AL55" i="25"/>
  <c r="AM55" i="25"/>
  <c r="AN55" i="25"/>
  <c r="AL63" i="25"/>
  <c r="AM63" i="25"/>
  <c r="AN63" i="25"/>
  <c r="AL71" i="25"/>
  <c r="AM71" i="25"/>
  <c r="AN71" i="25"/>
  <c r="AL79" i="25"/>
  <c r="AM79" i="25"/>
  <c r="AN79" i="25"/>
  <c r="AL87" i="25"/>
  <c r="AM87" i="25"/>
  <c r="AN87" i="25"/>
  <c r="AL95" i="25"/>
  <c r="AM95" i="25"/>
  <c r="AN95" i="25"/>
  <c r="AL103" i="25"/>
  <c r="AM103" i="25"/>
  <c r="AN103" i="25"/>
  <c r="AL111" i="25"/>
  <c r="AM111" i="25"/>
  <c r="AN111" i="25"/>
  <c r="AL119" i="25"/>
  <c r="AM119" i="25"/>
  <c r="AN119" i="25"/>
  <c r="AL127" i="25"/>
  <c r="AM127" i="25"/>
  <c r="AN127" i="25"/>
  <c r="AL18" i="25"/>
  <c r="AM18" i="25"/>
  <c r="AN18" i="25"/>
  <c r="AL26" i="25"/>
  <c r="AM26" i="25"/>
  <c r="AN26" i="25"/>
  <c r="AL34" i="25"/>
  <c r="AM34" i="25"/>
  <c r="AN34" i="25"/>
  <c r="AL42" i="25"/>
  <c r="AM42" i="25"/>
  <c r="AN42" i="25"/>
  <c r="AL50" i="25"/>
  <c r="AM50" i="25"/>
  <c r="AN50" i="25"/>
  <c r="AL58" i="25"/>
  <c r="AM58" i="25"/>
  <c r="AN58" i="25"/>
  <c r="AL66" i="25"/>
  <c r="AM66" i="25"/>
  <c r="AN66" i="25"/>
  <c r="AL74" i="25"/>
  <c r="AM74" i="25"/>
  <c r="AN74" i="25"/>
  <c r="AL82" i="25"/>
  <c r="AM82" i="25"/>
  <c r="AN82" i="25"/>
  <c r="AL90" i="25"/>
  <c r="AM90" i="25"/>
  <c r="AN90" i="25"/>
  <c r="AL98" i="25"/>
  <c r="AM98" i="25"/>
  <c r="AN98" i="25"/>
  <c r="AL106" i="25"/>
  <c r="AM106" i="25"/>
  <c r="AN106" i="25"/>
  <c r="AL114" i="25"/>
  <c r="AM114" i="25"/>
  <c r="AN114" i="25"/>
  <c r="AL122" i="25"/>
  <c r="AM122" i="25"/>
  <c r="AN122" i="25"/>
  <c r="AL130" i="25"/>
  <c r="AM130" i="25"/>
  <c r="AN130" i="25"/>
  <c r="AL19" i="25"/>
  <c r="AM19" i="25"/>
  <c r="AN19" i="25"/>
  <c r="AL35" i="25"/>
  <c r="AM35" i="25"/>
  <c r="AN35" i="25"/>
  <c r="AL43" i="25"/>
  <c r="AM43" i="25"/>
  <c r="AN43" i="25"/>
  <c r="AL51" i="25"/>
  <c r="AM51" i="25"/>
  <c r="AN51" i="25"/>
  <c r="AL67" i="25"/>
  <c r="AM67" i="25"/>
  <c r="AN67" i="25"/>
  <c r="AL75" i="25"/>
  <c r="AM75" i="25"/>
  <c r="AN75" i="25"/>
  <c r="AL91" i="25"/>
  <c r="AM91" i="25"/>
  <c r="AN91" i="25"/>
  <c r="AL99" i="25"/>
  <c r="AM99" i="25"/>
  <c r="AN99" i="25"/>
  <c r="AL115" i="25"/>
  <c r="AM115" i="25"/>
  <c r="AN115" i="25"/>
  <c r="AL131" i="25"/>
  <c r="AM131" i="25"/>
  <c r="AN131" i="25"/>
  <c r="AC72" i="6"/>
  <c r="B178" i="6"/>
  <c r="L178" i="6"/>
  <c r="B82" i="6"/>
  <c r="L82" i="6"/>
  <c r="B34" i="6"/>
  <c r="L34" i="6"/>
  <c r="B58" i="6"/>
  <c r="L58" i="6"/>
  <c r="B154" i="6"/>
  <c r="L154" i="6"/>
  <c r="B106" i="6"/>
  <c r="L106" i="6"/>
  <c r="B130" i="6"/>
  <c r="L130" i="6"/>
  <c r="S36" i="6"/>
  <c r="AC36" i="6"/>
  <c r="AM36" i="6"/>
  <c r="AM71" i="6"/>
  <c r="AT71" i="6"/>
  <c r="BS35" i="6"/>
  <c r="BS59" i="6"/>
  <c r="BS83" i="6"/>
  <c r="BS107" i="6"/>
  <c r="BS131" i="6"/>
  <c r="BS155" i="6"/>
  <c r="BS179" i="6"/>
  <c r="I18" i="1"/>
  <c r="AN13" i="25"/>
  <c r="AN11" i="25"/>
  <c r="S37" i="6"/>
  <c r="AC37" i="6"/>
  <c r="AM37" i="6"/>
  <c r="AM72" i="6"/>
  <c r="AT72" i="6"/>
  <c r="BS36" i="6"/>
  <c r="BS60" i="6"/>
  <c r="BS84" i="6"/>
  <c r="BS108" i="6"/>
  <c r="BS132" i="6"/>
  <c r="BS156" i="6"/>
  <c r="BS180" i="6"/>
  <c r="B179" i="6"/>
  <c r="L179" i="6"/>
  <c r="AC73" i="6"/>
  <c r="B35" i="6"/>
  <c r="L35" i="6"/>
  <c r="B59" i="6"/>
  <c r="L59" i="6"/>
  <c r="B155" i="6"/>
  <c r="L155" i="6"/>
  <c r="B107" i="6"/>
  <c r="L107" i="6"/>
  <c r="B83" i="6"/>
  <c r="L83" i="6"/>
  <c r="B131" i="6"/>
  <c r="L131" i="6"/>
  <c r="B84" i="6"/>
  <c r="L84" i="6"/>
  <c r="B60" i="6"/>
  <c r="L60" i="6"/>
  <c r="B36" i="6"/>
  <c r="L36" i="6"/>
  <c r="B156" i="6"/>
  <c r="L156" i="6"/>
  <c r="B180" i="6"/>
  <c r="L180" i="6"/>
  <c r="B108" i="6"/>
  <c r="L108" i="6"/>
  <c r="B132" i="6"/>
  <c r="L132" i="6"/>
  <c r="AC74" i="6"/>
  <c r="S38" i="6"/>
  <c r="AC38" i="6"/>
  <c r="AM38" i="6"/>
  <c r="AM73" i="6"/>
  <c r="AT73" i="6"/>
  <c r="BS37" i="6"/>
  <c r="BS61" i="6"/>
  <c r="BS85" i="6"/>
  <c r="BS109" i="6"/>
  <c r="BS133" i="6"/>
  <c r="BS157" i="6"/>
  <c r="AC75" i="6"/>
  <c r="B133" i="6"/>
  <c r="L133" i="6"/>
  <c r="B85" i="6"/>
  <c r="L85" i="6"/>
  <c r="B109" i="6"/>
  <c r="L109" i="6"/>
  <c r="B37" i="6"/>
  <c r="L37" i="6"/>
  <c r="B61" i="6"/>
  <c r="L61" i="6"/>
  <c r="B157" i="6"/>
  <c r="L157" i="6"/>
  <c r="BS38" i="6"/>
  <c r="BS62" i="6"/>
  <c r="BS86" i="6"/>
  <c r="BS110" i="6"/>
  <c r="BS134" i="6"/>
  <c r="BS158" i="6"/>
  <c r="AC76" i="6"/>
  <c r="B38" i="6"/>
  <c r="B134" i="6"/>
  <c r="L134" i="6"/>
  <c r="B158" i="6"/>
  <c r="L158" i="6"/>
  <c r="B86" i="6"/>
  <c r="L86" i="6"/>
  <c r="B62" i="6"/>
  <c r="L62" i="6"/>
  <c r="B110" i="6"/>
  <c r="L110" i="6"/>
  <c r="B11" i="6"/>
  <c r="E134" i="6"/>
  <c r="L38" i="6"/>
  <c r="B12" i="6"/>
  <c r="C10" i="6"/>
  <c r="H134" i="6"/>
  <c r="I134" i="6"/>
  <c r="E15" i="6"/>
  <c r="E118" i="6"/>
  <c r="E91" i="6"/>
  <c r="E119" i="6"/>
  <c r="E147" i="6"/>
  <c r="E66" i="6"/>
  <c r="E73" i="6"/>
  <c r="E102" i="6"/>
  <c r="E40" i="6"/>
  <c r="E18" i="6"/>
  <c r="E100" i="6"/>
  <c r="E135" i="6"/>
  <c r="E94" i="6"/>
  <c r="E116" i="6"/>
  <c r="E151" i="6"/>
  <c r="E47" i="6"/>
  <c r="E141" i="6"/>
  <c r="E170" i="6"/>
  <c r="E29" i="6"/>
  <c r="E23" i="6"/>
  <c r="E49" i="6"/>
  <c r="E44" i="6"/>
  <c r="E26" i="6"/>
  <c r="E56" i="6"/>
  <c r="E176" i="6"/>
  <c r="E159" i="6"/>
  <c r="E48" i="6"/>
  <c r="E167" i="6"/>
  <c r="E140" i="6"/>
  <c r="E17" i="6"/>
  <c r="E63" i="6"/>
  <c r="E90" i="6"/>
  <c r="E25" i="6"/>
  <c r="E173" i="6"/>
  <c r="E89" i="6"/>
  <c r="E69" i="6"/>
  <c r="E166" i="6"/>
  <c r="E125" i="6"/>
  <c r="E92" i="6"/>
  <c r="E71" i="6"/>
  <c r="E152" i="6"/>
  <c r="E174" i="6"/>
  <c r="E78" i="6"/>
  <c r="E122" i="6"/>
  <c r="E42" i="6"/>
  <c r="E150" i="6"/>
  <c r="E79" i="6"/>
  <c r="E74" i="6"/>
  <c r="E41" i="6"/>
  <c r="E120" i="6"/>
  <c r="E98" i="6"/>
  <c r="E142" i="6"/>
  <c r="E144" i="6"/>
  <c r="E111" i="6"/>
  <c r="E127" i="6"/>
  <c r="E117" i="6"/>
  <c r="E54" i="6"/>
  <c r="E165" i="6"/>
  <c r="E27" i="6"/>
  <c r="E169" i="6"/>
  <c r="E148" i="6"/>
  <c r="E70" i="6"/>
  <c r="E68" i="6"/>
  <c r="E115" i="6"/>
  <c r="E124" i="6"/>
  <c r="E163" i="6"/>
  <c r="E52" i="6"/>
  <c r="E24" i="6"/>
  <c r="E28" i="6"/>
  <c r="E172" i="6"/>
  <c r="E39" i="6"/>
  <c r="E149" i="6"/>
  <c r="E76" i="6"/>
  <c r="E50" i="6"/>
  <c r="E162" i="6"/>
  <c r="E46" i="6"/>
  <c r="E77" i="6"/>
  <c r="E136" i="6"/>
  <c r="E139" i="6"/>
  <c r="E19" i="6"/>
  <c r="E96" i="6"/>
  <c r="E67" i="6"/>
  <c r="E101" i="6"/>
  <c r="E112" i="6"/>
  <c r="E64" i="6"/>
  <c r="E164" i="6"/>
  <c r="E160" i="6"/>
  <c r="E65" i="6"/>
  <c r="E104" i="6"/>
  <c r="E93" i="6"/>
  <c r="E21" i="6"/>
  <c r="E51" i="6"/>
  <c r="E72" i="6"/>
  <c r="E114" i="6"/>
  <c r="E137" i="6"/>
  <c r="E88" i="6"/>
  <c r="E146" i="6"/>
  <c r="E22" i="6"/>
  <c r="E30" i="6"/>
  <c r="E121" i="6"/>
  <c r="E145" i="6"/>
  <c r="E75" i="6"/>
  <c r="E53" i="6"/>
  <c r="E126" i="6"/>
  <c r="E143" i="6"/>
  <c r="E103" i="6"/>
  <c r="E43" i="6"/>
  <c r="E45" i="6"/>
  <c r="E87" i="6"/>
  <c r="E113" i="6"/>
  <c r="E138" i="6"/>
  <c r="E32" i="6"/>
  <c r="E175" i="6"/>
  <c r="E20" i="6"/>
  <c r="E16" i="6"/>
  <c r="E171" i="6"/>
  <c r="E95" i="6"/>
  <c r="E128" i="6"/>
  <c r="E99" i="6"/>
  <c r="E161" i="6"/>
  <c r="E31" i="6"/>
  <c r="E55" i="6"/>
  <c r="E97" i="6"/>
  <c r="E168" i="6"/>
  <c r="E123" i="6"/>
  <c r="E80" i="6"/>
  <c r="E81" i="6"/>
  <c r="E129" i="6"/>
  <c r="E177" i="6"/>
  <c r="E33" i="6"/>
  <c r="E57" i="6"/>
  <c r="E153" i="6"/>
  <c r="E105" i="6"/>
  <c r="E106" i="6"/>
  <c r="E130" i="6"/>
  <c r="E82" i="6"/>
  <c r="E34" i="6"/>
  <c r="E154" i="6"/>
  <c r="E58" i="6"/>
  <c r="E178" i="6"/>
  <c r="E59" i="6"/>
  <c r="E107" i="6"/>
  <c r="E131" i="6"/>
  <c r="E179" i="6"/>
  <c r="E35" i="6"/>
  <c r="E155" i="6"/>
  <c r="E83" i="6"/>
  <c r="E108" i="6"/>
  <c r="E36" i="6"/>
  <c r="E180" i="6"/>
  <c r="E60" i="6"/>
  <c r="E84" i="6"/>
  <c r="E156" i="6"/>
  <c r="E132" i="6"/>
  <c r="E157" i="6"/>
  <c r="E133" i="6"/>
  <c r="E37" i="6"/>
  <c r="E109" i="6"/>
  <c r="E61" i="6"/>
  <c r="E85" i="6"/>
  <c r="E158" i="6"/>
  <c r="E110" i="6"/>
  <c r="E38" i="6"/>
  <c r="E62" i="6"/>
  <c r="E86" i="6"/>
  <c r="H37" i="6"/>
  <c r="I37" i="6"/>
  <c r="I110" i="6"/>
  <c r="H110" i="6"/>
  <c r="H109" i="6"/>
  <c r="I109" i="6"/>
  <c r="I132" i="6"/>
  <c r="H132" i="6"/>
  <c r="H180" i="6"/>
  <c r="I180" i="6"/>
  <c r="I155" i="6"/>
  <c r="H155" i="6"/>
  <c r="H107" i="6"/>
  <c r="I107" i="6"/>
  <c r="H154" i="6"/>
  <c r="I154" i="6"/>
  <c r="H106" i="6"/>
  <c r="I106" i="6"/>
  <c r="I33" i="6"/>
  <c r="H33" i="6"/>
  <c r="H80" i="6"/>
  <c r="I80" i="6"/>
  <c r="I55" i="6"/>
  <c r="H55" i="6"/>
  <c r="I128" i="6"/>
  <c r="H128" i="6"/>
  <c r="I20" i="6"/>
  <c r="H20" i="6"/>
  <c r="I113" i="6"/>
  <c r="H113" i="6"/>
  <c r="H103" i="6"/>
  <c r="I103" i="6"/>
  <c r="H75" i="6"/>
  <c r="I75" i="6"/>
  <c r="I22" i="6"/>
  <c r="H22" i="6"/>
  <c r="I114" i="6"/>
  <c r="H114" i="6"/>
  <c r="I93" i="6"/>
  <c r="H93" i="6"/>
  <c r="H164" i="6"/>
  <c r="I164" i="6"/>
  <c r="I67" i="6"/>
  <c r="H67" i="6"/>
  <c r="I136" i="6"/>
  <c r="H136" i="6"/>
  <c r="H50" i="6"/>
  <c r="I50" i="6"/>
  <c r="I172" i="6"/>
  <c r="H172" i="6"/>
  <c r="I163" i="6"/>
  <c r="H163" i="6"/>
  <c r="I70" i="6"/>
  <c r="H70" i="6"/>
  <c r="I165" i="6"/>
  <c r="H165" i="6"/>
  <c r="H111" i="6"/>
  <c r="I111" i="6"/>
  <c r="H120" i="6"/>
  <c r="I120" i="6"/>
  <c r="H150" i="6"/>
  <c r="I150" i="6"/>
  <c r="I174" i="6"/>
  <c r="H174" i="6"/>
  <c r="I125" i="6"/>
  <c r="H125" i="6"/>
  <c r="I173" i="6"/>
  <c r="H173" i="6"/>
  <c r="I17" i="6"/>
  <c r="H17" i="6"/>
  <c r="I159" i="6"/>
  <c r="H159" i="6"/>
  <c r="I44" i="6"/>
  <c r="H44" i="6"/>
  <c r="I170" i="6"/>
  <c r="H170" i="6"/>
  <c r="H116" i="6"/>
  <c r="I116" i="6"/>
  <c r="I18" i="6"/>
  <c r="H18" i="6"/>
  <c r="H66" i="6"/>
  <c r="I66" i="6"/>
  <c r="I118" i="6"/>
  <c r="H118" i="6"/>
  <c r="H86" i="6"/>
  <c r="I86" i="6"/>
  <c r="I156" i="6"/>
  <c r="H156" i="6"/>
  <c r="I35" i="6"/>
  <c r="H35" i="6"/>
  <c r="H34" i="6"/>
  <c r="I34" i="6"/>
  <c r="H177" i="6"/>
  <c r="I177" i="6"/>
  <c r="I123" i="6"/>
  <c r="H123" i="6"/>
  <c r="I31" i="6"/>
  <c r="H31" i="6"/>
  <c r="H95" i="6"/>
  <c r="I95" i="6"/>
  <c r="I175" i="6"/>
  <c r="H175" i="6"/>
  <c r="H87" i="6"/>
  <c r="I87" i="6"/>
  <c r="H143" i="6"/>
  <c r="I143" i="6"/>
  <c r="H145" i="6"/>
  <c r="I145" i="6"/>
  <c r="H146" i="6"/>
  <c r="I146" i="6"/>
  <c r="I72" i="6"/>
  <c r="H72" i="6"/>
  <c r="I104" i="6"/>
  <c r="H104" i="6"/>
  <c r="H64" i="6"/>
  <c r="I64" i="6"/>
  <c r="I96" i="6"/>
  <c r="H96" i="6"/>
  <c r="H77" i="6"/>
  <c r="I77" i="6"/>
  <c r="I76" i="6"/>
  <c r="H76" i="6"/>
  <c r="H28" i="6"/>
  <c r="I28" i="6"/>
  <c r="I124" i="6"/>
  <c r="H124" i="6"/>
  <c r="H148" i="6"/>
  <c r="I148" i="6"/>
  <c r="I54" i="6"/>
  <c r="H54" i="6"/>
  <c r="H144" i="6"/>
  <c r="I144" i="6"/>
  <c r="H41" i="6"/>
  <c r="I41" i="6"/>
  <c r="H42" i="6"/>
  <c r="I42" i="6"/>
  <c r="H152" i="6"/>
  <c r="I152" i="6"/>
  <c r="H166" i="6"/>
  <c r="I166" i="6"/>
  <c r="I25" i="6"/>
  <c r="H25" i="6"/>
  <c r="I140" i="6"/>
  <c r="H140" i="6"/>
  <c r="I176" i="6"/>
  <c r="H176" i="6"/>
  <c r="H49" i="6"/>
  <c r="I49" i="6"/>
  <c r="I141" i="6"/>
  <c r="H141" i="6"/>
  <c r="H94" i="6"/>
  <c r="I94" i="6"/>
  <c r="H40" i="6"/>
  <c r="I40" i="6"/>
  <c r="I147" i="6"/>
  <c r="H147" i="6"/>
  <c r="I15" i="6"/>
  <c r="H15" i="6"/>
  <c r="H62" i="6"/>
  <c r="I62" i="6"/>
  <c r="I85" i="6"/>
  <c r="H85" i="6"/>
  <c r="I133" i="6"/>
  <c r="H133" i="6"/>
  <c r="I84" i="6"/>
  <c r="H84" i="6"/>
  <c r="H108" i="6"/>
  <c r="I108" i="6"/>
  <c r="H179" i="6"/>
  <c r="I179" i="6"/>
  <c r="I178" i="6"/>
  <c r="H178" i="6"/>
  <c r="H82" i="6"/>
  <c r="I82" i="6"/>
  <c r="I153" i="6"/>
  <c r="H153" i="6"/>
  <c r="I129" i="6"/>
  <c r="H129" i="6"/>
  <c r="I168" i="6"/>
  <c r="H168" i="6"/>
  <c r="I161" i="6"/>
  <c r="H161" i="6"/>
  <c r="H171" i="6"/>
  <c r="I171" i="6"/>
  <c r="I32" i="6"/>
  <c r="H32" i="6"/>
  <c r="I45" i="6"/>
  <c r="H45" i="6"/>
  <c r="H126" i="6"/>
  <c r="I126" i="6"/>
  <c r="H121" i="6"/>
  <c r="I121" i="6"/>
  <c r="H88" i="6"/>
  <c r="I88" i="6"/>
  <c r="I51" i="6"/>
  <c r="H51" i="6"/>
  <c r="I65" i="6"/>
  <c r="H65" i="6"/>
  <c r="H112" i="6"/>
  <c r="I112" i="6"/>
  <c r="I19" i="6"/>
  <c r="H19" i="6"/>
  <c r="H46" i="6"/>
  <c r="I46" i="6"/>
  <c r="H149" i="6"/>
  <c r="I149" i="6"/>
  <c r="H24" i="6"/>
  <c r="I24" i="6"/>
  <c r="H115" i="6"/>
  <c r="I115" i="6"/>
  <c r="I169" i="6"/>
  <c r="H169" i="6"/>
  <c r="H117" i="6"/>
  <c r="I117" i="6"/>
  <c r="H142" i="6"/>
  <c r="I142" i="6"/>
  <c r="H74" i="6"/>
  <c r="I74" i="6"/>
  <c r="H122" i="6"/>
  <c r="I122" i="6"/>
  <c r="I71" i="6"/>
  <c r="H71" i="6"/>
  <c r="H69" i="6"/>
  <c r="I69" i="6"/>
  <c r="H90" i="6"/>
  <c r="I90" i="6"/>
  <c r="I167" i="6"/>
  <c r="H167" i="6"/>
  <c r="I56" i="6"/>
  <c r="H56" i="6"/>
  <c r="I23" i="6"/>
  <c r="H23" i="6"/>
  <c r="I47" i="6"/>
  <c r="H47" i="6"/>
  <c r="H135" i="6"/>
  <c r="I135" i="6"/>
  <c r="H102" i="6"/>
  <c r="I102" i="6"/>
  <c r="H119" i="6"/>
  <c r="I119" i="6"/>
  <c r="I158" i="6"/>
  <c r="H158" i="6"/>
  <c r="I36" i="6"/>
  <c r="H36" i="6"/>
  <c r="I59" i="6"/>
  <c r="H59" i="6"/>
  <c r="I105" i="6"/>
  <c r="H105" i="6"/>
  <c r="I38" i="6"/>
  <c r="H38" i="6"/>
  <c r="H61" i="6"/>
  <c r="I61" i="6"/>
  <c r="I157" i="6"/>
  <c r="H157" i="6"/>
  <c r="H60" i="6"/>
  <c r="I60" i="6"/>
  <c r="I83" i="6"/>
  <c r="H83" i="6"/>
  <c r="H131" i="6"/>
  <c r="I131" i="6"/>
  <c r="I58" i="6"/>
  <c r="H58" i="6"/>
  <c r="I130" i="6"/>
  <c r="H130" i="6"/>
  <c r="I57" i="6"/>
  <c r="H57" i="6"/>
  <c r="I81" i="6"/>
  <c r="H81" i="6"/>
  <c r="I97" i="6"/>
  <c r="H97" i="6"/>
  <c r="H99" i="6"/>
  <c r="I99" i="6"/>
  <c r="H16" i="6"/>
  <c r="I16" i="6"/>
  <c r="H138" i="6"/>
  <c r="I138" i="6"/>
  <c r="I43" i="6"/>
  <c r="H43" i="6"/>
  <c r="I53" i="6"/>
  <c r="H53" i="6"/>
  <c r="H30" i="6"/>
  <c r="I30" i="6"/>
  <c r="H137" i="6"/>
  <c r="I137" i="6"/>
  <c r="H21" i="6"/>
  <c r="I21" i="6"/>
  <c r="I160" i="6"/>
  <c r="H160" i="6"/>
  <c r="I101" i="6"/>
  <c r="H101" i="6"/>
  <c r="I139" i="6"/>
  <c r="H139" i="6"/>
  <c r="I162" i="6"/>
  <c r="H162" i="6"/>
  <c r="I39" i="6"/>
  <c r="H39" i="6"/>
  <c r="I52" i="6"/>
  <c r="H52" i="6"/>
  <c r="I68" i="6"/>
  <c r="H68" i="6"/>
  <c r="I27" i="6"/>
  <c r="H27" i="6"/>
  <c r="I127" i="6"/>
  <c r="H127" i="6"/>
  <c r="H98" i="6"/>
  <c r="I98" i="6"/>
  <c r="I79" i="6"/>
  <c r="H79" i="6"/>
  <c r="I78" i="6"/>
  <c r="H78" i="6"/>
  <c r="H92" i="6"/>
  <c r="I92" i="6"/>
  <c r="H89" i="6"/>
  <c r="I89" i="6"/>
  <c r="I63" i="6"/>
  <c r="H63" i="6"/>
  <c r="I48" i="6"/>
  <c r="H48" i="6"/>
  <c r="H26" i="6"/>
  <c r="I26" i="6"/>
  <c r="I29" i="6"/>
  <c r="H29" i="6"/>
  <c r="H151" i="6"/>
  <c r="I151" i="6"/>
  <c r="I100" i="6"/>
  <c r="H100" i="6"/>
  <c r="H73" i="6"/>
  <c r="I73" i="6"/>
  <c r="H91" i="6"/>
  <c r="I91" i="6"/>
  <c r="I11" i="6"/>
  <c r="B10" i="6"/>
  <c r="H11" i="6"/>
  <c r="B6" i="6"/>
  <c r="B7" i="6"/>
  <c r="B8" i="6"/>
  <c r="AU15" i="6"/>
  <c r="AS15" i="6"/>
  <c r="AU24" i="6"/>
  <c r="AU20" i="6"/>
  <c r="AU16" i="6"/>
  <c r="AT34" i="6"/>
  <c r="AT30" i="6"/>
  <c r="AT26" i="6"/>
  <c r="AT22" i="6"/>
  <c r="AT18" i="6"/>
  <c r="AO15" i="6"/>
  <c r="AR16" i="6"/>
  <c r="AQ17" i="6"/>
  <c r="AP18" i="6"/>
  <c r="AO19" i="6"/>
  <c r="AS19" i="6"/>
  <c r="AR20" i="6"/>
  <c r="AQ21" i="6"/>
  <c r="AP22" i="6"/>
  <c r="AO23" i="6"/>
  <c r="AS23" i="6"/>
  <c r="AR24" i="6"/>
  <c r="AQ25" i="6"/>
  <c r="AP26" i="6"/>
  <c r="AO27" i="6"/>
  <c r="AS27" i="6"/>
  <c r="AR28" i="6"/>
  <c r="AQ29" i="6"/>
  <c r="AP30" i="6"/>
  <c r="AO31" i="6"/>
  <c r="AS31" i="6"/>
  <c r="AR32" i="6"/>
  <c r="AQ33" i="6"/>
  <c r="AP34" i="6"/>
  <c r="AO35" i="6"/>
  <c r="AS35" i="6"/>
  <c r="AR36" i="6"/>
  <c r="AQ37" i="6"/>
  <c r="AP38" i="6"/>
  <c r="AN16" i="6"/>
  <c r="AN20" i="6"/>
  <c r="AN24" i="6"/>
  <c r="AN28" i="6"/>
  <c r="AN32" i="6"/>
  <c r="AN36" i="6"/>
  <c r="AU23" i="6"/>
  <c r="AU19" i="6"/>
  <c r="AT33" i="6"/>
  <c r="AT29" i="6"/>
  <c r="AT25" i="6"/>
  <c r="AT21" i="6"/>
  <c r="AT17" i="6"/>
  <c r="AP15" i="6"/>
  <c r="AO16" i="6"/>
  <c r="AS16" i="6"/>
  <c r="AR17" i="6"/>
  <c r="AQ18" i="6"/>
  <c r="AP19" i="6"/>
  <c r="AO20" i="6"/>
  <c r="AS20" i="6"/>
  <c r="AR21" i="6"/>
  <c r="AQ22" i="6"/>
  <c r="AP23" i="6"/>
  <c r="AO24" i="6"/>
  <c r="AS24" i="6"/>
  <c r="AR25" i="6"/>
  <c r="AQ26" i="6"/>
  <c r="AP27" i="6"/>
  <c r="AO28" i="6"/>
  <c r="AS28" i="6"/>
  <c r="AR29" i="6"/>
  <c r="AQ30" i="6"/>
  <c r="AP31" i="6"/>
  <c r="AO32" i="6"/>
  <c r="AS32" i="6"/>
  <c r="AR33" i="6"/>
  <c r="AQ34" i="6"/>
  <c r="AP35" i="6"/>
  <c r="AO36" i="6"/>
  <c r="AS36" i="6"/>
  <c r="AR37" i="6"/>
  <c r="AQ38" i="6"/>
  <c r="AN17" i="6"/>
  <c r="AN21" i="6"/>
  <c r="AN25" i="6"/>
  <c r="AN29" i="6"/>
  <c r="AN33" i="6"/>
  <c r="AN37" i="6"/>
  <c r="AU22" i="6"/>
  <c r="AU18" i="6"/>
  <c r="AT36" i="6"/>
  <c r="AT32" i="6"/>
  <c r="AT28" i="6"/>
  <c r="AT24" i="6"/>
  <c r="AT20" i="6"/>
  <c r="AT16" i="6"/>
  <c r="AQ15" i="6"/>
  <c r="AP16" i="6"/>
  <c r="AO17" i="6"/>
  <c r="AS17" i="6"/>
  <c r="AR18" i="6"/>
  <c r="AQ19" i="6"/>
  <c r="AP20" i="6"/>
  <c r="AO21" i="6"/>
  <c r="AS21" i="6"/>
  <c r="AR22" i="6"/>
  <c r="AQ23" i="6"/>
  <c r="AP24" i="6"/>
  <c r="AO25" i="6"/>
  <c r="AS25" i="6"/>
  <c r="AR26" i="6"/>
  <c r="AQ27" i="6"/>
  <c r="AP28" i="6"/>
  <c r="AO29" i="6"/>
  <c r="AS29" i="6"/>
  <c r="AR30" i="6"/>
  <c r="AQ31" i="6"/>
  <c r="AP32" i="6"/>
  <c r="AO33" i="6"/>
  <c r="AS33" i="6"/>
  <c r="AR34" i="6"/>
  <c r="AQ35" i="6"/>
  <c r="AP36" i="6"/>
  <c r="AO37" i="6"/>
  <c r="AS37" i="6"/>
  <c r="AR38" i="6"/>
  <c r="AN18" i="6"/>
  <c r="AN22" i="6"/>
  <c r="AN26" i="6"/>
  <c r="AN30" i="6"/>
  <c r="AN34" i="6"/>
  <c r="AN38" i="6"/>
  <c r="AU25" i="6"/>
  <c r="AU21" i="6"/>
  <c r="AU17" i="6"/>
  <c r="AT35" i="6"/>
  <c r="AT31" i="6"/>
  <c r="AT27" i="6"/>
  <c r="AT23" i="6"/>
  <c r="AT19" i="6"/>
  <c r="AT15" i="6"/>
  <c r="AR15" i="6"/>
  <c r="AQ16" i="6"/>
  <c r="AP17" i="6"/>
  <c r="AO18" i="6"/>
  <c r="AS18" i="6"/>
  <c r="AR19" i="6"/>
  <c r="AQ20" i="6"/>
  <c r="AP21" i="6"/>
  <c r="AO22" i="6"/>
  <c r="AS22" i="6"/>
  <c r="AR23" i="6"/>
  <c r="AQ24" i="6"/>
  <c r="AP25" i="6"/>
  <c r="AO26" i="6"/>
  <c r="AS26" i="6"/>
  <c r="AR27" i="6"/>
  <c r="AQ28" i="6"/>
  <c r="AP29" i="6"/>
  <c r="AO30" i="6"/>
  <c r="AS30" i="6"/>
  <c r="AR31" i="6"/>
  <c r="AQ32" i="6"/>
  <c r="AP33" i="6"/>
  <c r="AO34" i="6"/>
  <c r="AS34" i="6"/>
  <c r="AR35" i="6"/>
  <c r="AQ36" i="6"/>
  <c r="AP37" i="6"/>
  <c r="AO38" i="6"/>
  <c r="AS38" i="6"/>
  <c r="AN19" i="6"/>
  <c r="AN23" i="6"/>
  <c r="AN27" i="6"/>
  <c r="AN31" i="6"/>
  <c r="AN35" i="6"/>
  <c r="AN15" i="6"/>
  <c r="N23" i="6"/>
  <c r="N33" i="6"/>
  <c r="N41" i="6"/>
  <c r="N49" i="6"/>
  <c r="N57" i="6"/>
  <c r="N65" i="6"/>
  <c r="N73" i="6"/>
  <c r="N81" i="6"/>
  <c r="N89" i="6"/>
  <c r="N97" i="6"/>
  <c r="N105" i="6"/>
  <c r="N113" i="6"/>
  <c r="N121" i="6"/>
  <c r="N129" i="6"/>
  <c r="N137" i="6"/>
  <c r="N145" i="6"/>
  <c r="N153" i="6"/>
  <c r="N164" i="6"/>
  <c r="N172" i="6"/>
  <c r="N180" i="6"/>
  <c r="N19" i="6"/>
  <c r="N22" i="6"/>
  <c r="N32" i="6"/>
  <c r="N40" i="6"/>
  <c r="N48" i="6"/>
  <c r="N56" i="6"/>
  <c r="N64" i="6"/>
  <c r="N72" i="6"/>
  <c r="N80" i="6"/>
  <c r="N88" i="6"/>
  <c r="N96" i="6"/>
  <c r="N104" i="6"/>
  <c r="N112" i="6"/>
  <c r="N120" i="6"/>
  <c r="N128" i="6"/>
  <c r="N29" i="6"/>
  <c r="N37" i="6"/>
  <c r="N45" i="6"/>
  <c r="N53" i="6"/>
  <c r="N61" i="6"/>
  <c r="N69" i="6"/>
  <c r="N77" i="6"/>
  <c r="N85" i="6"/>
  <c r="N93" i="6"/>
  <c r="N101" i="6"/>
  <c r="N109" i="6"/>
  <c r="N117" i="6"/>
  <c r="N125" i="6"/>
  <c r="N133" i="6"/>
  <c r="N141" i="6"/>
  <c r="N149" i="6"/>
  <c r="N157" i="6"/>
  <c r="N160" i="6"/>
  <c r="N168" i="6"/>
  <c r="N176" i="6"/>
  <c r="N17" i="6"/>
  <c r="N28" i="6"/>
  <c r="N60" i="6"/>
  <c r="N92" i="6"/>
  <c r="N124" i="6"/>
  <c r="N144" i="6"/>
  <c r="N167" i="6"/>
  <c r="N20" i="6"/>
  <c r="N44" i="6"/>
  <c r="N76" i="6"/>
  <c r="N108" i="6"/>
  <c r="N136" i="6"/>
  <c r="N152" i="6"/>
  <c r="N159" i="6"/>
  <c r="N175" i="6"/>
  <c r="N16" i="6"/>
  <c r="N15" i="6"/>
  <c r="Q15" i="6"/>
  <c r="N156" i="6"/>
  <c r="N163" i="6"/>
  <c r="N179" i="6"/>
  <c r="N36" i="6"/>
  <c r="N68" i="6"/>
  <c r="N100" i="6"/>
  <c r="N132" i="6"/>
  <c r="N148" i="6"/>
  <c r="N171" i="6"/>
  <c r="N21" i="6"/>
  <c r="N140" i="6"/>
  <c r="N18" i="6"/>
  <c r="N52" i="6"/>
  <c r="N84" i="6"/>
  <c r="N116" i="6"/>
  <c r="N94" i="6"/>
  <c r="N30" i="6"/>
  <c r="N146" i="6"/>
  <c r="N161" i="6"/>
  <c r="N131" i="6"/>
  <c r="N67" i="6"/>
  <c r="N139" i="6"/>
  <c r="N158" i="6"/>
  <c r="N107" i="6"/>
  <c r="N43" i="6"/>
  <c r="N143" i="6"/>
  <c r="N91" i="6"/>
  <c r="N27" i="6"/>
  <c r="N127" i="6"/>
  <c r="N111" i="6"/>
  <c r="N95" i="6"/>
  <c r="N79" i="6"/>
  <c r="N63" i="6"/>
  <c r="N47" i="6"/>
  <c r="N31" i="6"/>
  <c r="N83" i="6"/>
  <c r="N178" i="6"/>
  <c r="N115" i="6"/>
  <c r="N154" i="6"/>
  <c r="N110" i="6"/>
  <c r="N46" i="6"/>
  <c r="N126" i="6"/>
  <c r="N151" i="6"/>
  <c r="N86" i="6"/>
  <c r="N173" i="6"/>
  <c r="N134" i="6"/>
  <c r="N70" i="6"/>
  <c r="N25" i="6"/>
  <c r="N122" i="6"/>
  <c r="N106" i="6"/>
  <c r="N90" i="6"/>
  <c r="N74" i="6"/>
  <c r="N58" i="6"/>
  <c r="N42" i="6"/>
  <c r="N26" i="6"/>
  <c r="N62" i="6"/>
  <c r="N162" i="6"/>
  <c r="N177" i="6"/>
  <c r="N147" i="6"/>
  <c r="N99" i="6"/>
  <c r="N35" i="6"/>
  <c r="N174" i="6"/>
  <c r="N142" i="6"/>
  <c r="N75" i="6"/>
  <c r="N166" i="6"/>
  <c r="N123" i="6"/>
  <c r="N59" i="6"/>
  <c r="N135" i="6"/>
  <c r="N119" i="6"/>
  <c r="N103" i="6"/>
  <c r="N87" i="6"/>
  <c r="N71" i="6"/>
  <c r="N55" i="6"/>
  <c r="N39" i="6"/>
  <c r="N24" i="6"/>
  <c r="N51" i="6"/>
  <c r="N155" i="6"/>
  <c r="N170" i="6"/>
  <c r="N138" i="6"/>
  <c r="N78" i="6"/>
  <c r="N169" i="6"/>
  <c r="N165" i="6"/>
  <c r="N118" i="6"/>
  <c r="N54" i="6"/>
  <c r="N150" i="6"/>
  <c r="N102" i="6"/>
  <c r="N38" i="6"/>
  <c r="N130" i="6"/>
  <c r="N114" i="6"/>
  <c r="N98" i="6"/>
  <c r="N82" i="6"/>
  <c r="N66" i="6"/>
  <c r="N50" i="6"/>
  <c r="N34" i="6"/>
  <c r="P98" i="6"/>
  <c r="Q98" i="6"/>
  <c r="P39" i="6"/>
  <c r="Q39" i="6"/>
  <c r="P174" i="6"/>
  <c r="Q174" i="6"/>
  <c r="P134" i="6"/>
  <c r="Q134" i="6"/>
  <c r="P143" i="6"/>
  <c r="Q143" i="6"/>
  <c r="P21" i="6"/>
  <c r="Q21" i="6"/>
  <c r="P168" i="6"/>
  <c r="Q168" i="6"/>
  <c r="P150" i="6"/>
  <c r="Q150" i="6"/>
  <c r="P55" i="6"/>
  <c r="Q55" i="6"/>
  <c r="P82" i="6"/>
  <c r="Q82" i="6"/>
  <c r="P38" i="6"/>
  <c r="Q38" i="6"/>
  <c r="P118" i="6"/>
  <c r="Q118" i="6"/>
  <c r="P138" i="6"/>
  <c r="Q138" i="6"/>
  <c r="P24" i="6"/>
  <c r="Q24" i="6"/>
  <c r="P87" i="6"/>
  <c r="Q87" i="6"/>
  <c r="P59" i="6"/>
  <c r="Q59" i="6"/>
  <c r="P142" i="6"/>
  <c r="Q142" i="6"/>
  <c r="P147" i="6"/>
  <c r="Q147" i="6"/>
  <c r="P26" i="6"/>
  <c r="Q26" i="6"/>
  <c r="P90" i="6"/>
  <c r="Q90" i="6"/>
  <c r="P70" i="6"/>
  <c r="Q70" i="6"/>
  <c r="P151" i="6"/>
  <c r="Q151" i="6"/>
  <c r="P154" i="6"/>
  <c r="Q154" i="6"/>
  <c r="P31" i="6"/>
  <c r="Q31" i="6"/>
  <c r="P95" i="6"/>
  <c r="Q95" i="6"/>
  <c r="P91" i="6"/>
  <c r="Q91" i="6"/>
  <c r="P158" i="6"/>
  <c r="Q158" i="6"/>
  <c r="P161" i="6"/>
  <c r="Q161" i="6"/>
  <c r="P116" i="6"/>
  <c r="Q116" i="6"/>
  <c r="P140" i="6"/>
  <c r="Q140" i="6"/>
  <c r="P132" i="6"/>
  <c r="Q132" i="6"/>
  <c r="P179" i="6"/>
  <c r="Q179" i="6"/>
  <c r="P16" i="6"/>
  <c r="Q16" i="6"/>
  <c r="P136" i="6"/>
  <c r="Q136" i="6"/>
  <c r="P20" i="6"/>
  <c r="Q20" i="6"/>
  <c r="P92" i="6"/>
  <c r="Q92" i="6"/>
  <c r="P176" i="6"/>
  <c r="Q176" i="6"/>
  <c r="P149" i="6"/>
  <c r="Q149" i="6"/>
  <c r="P117" i="6"/>
  <c r="Q117" i="6"/>
  <c r="P85" i="6"/>
  <c r="Q85" i="6"/>
  <c r="P53" i="6"/>
  <c r="Q53" i="6"/>
  <c r="P128" i="6"/>
  <c r="Q128" i="6"/>
  <c r="P96" i="6"/>
  <c r="Q96" i="6"/>
  <c r="P64" i="6"/>
  <c r="Q64" i="6"/>
  <c r="P32" i="6"/>
  <c r="Q32" i="6"/>
  <c r="P172" i="6"/>
  <c r="Q172" i="6"/>
  <c r="P137" i="6"/>
  <c r="Q137" i="6"/>
  <c r="P105" i="6"/>
  <c r="Q105" i="6"/>
  <c r="P73" i="6"/>
  <c r="Q73" i="6"/>
  <c r="P41" i="6"/>
  <c r="Q41" i="6"/>
  <c r="AY16" i="6"/>
  <c r="BA16" i="6"/>
  <c r="BB16" i="6"/>
  <c r="P102" i="6"/>
  <c r="Q102" i="6"/>
  <c r="P126" i="6"/>
  <c r="Q126" i="6"/>
  <c r="P84" i="6"/>
  <c r="Q84" i="6"/>
  <c r="P175" i="6"/>
  <c r="Q175" i="6"/>
  <c r="P60" i="6"/>
  <c r="Q60" i="6"/>
  <c r="P141" i="6"/>
  <c r="Q141" i="6"/>
  <c r="P109" i="6"/>
  <c r="Q109" i="6"/>
  <c r="P77" i="6"/>
  <c r="Q77" i="6"/>
  <c r="P45" i="6"/>
  <c r="Q45" i="6"/>
  <c r="P120" i="6"/>
  <c r="Q120" i="6"/>
  <c r="P88" i="6"/>
  <c r="Q88" i="6"/>
  <c r="P56" i="6"/>
  <c r="Q56" i="6"/>
  <c r="P22" i="6"/>
  <c r="Q22" i="6"/>
  <c r="P164" i="6"/>
  <c r="Q164" i="6"/>
  <c r="P129" i="6"/>
  <c r="Q129" i="6"/>
  <c r="P97" i="6"/>
  <c r="Q97" i="6"/>
  <c r="P65" i="6"/>
  <c r="Q65" i="6"/>
  <c r="P33" i="6"/>
  <c r="Q33" i="6"/>
  <c r="AY19" i="6"/>
  <c r="BA19" i="6"/>
  <c r="BB19" i="6"/>
  <c r="P165" i="6"/>
  <c r="Q165" i="6"/>
  <c r="P103" i="6"/>
  <c r="Q103" i="6"/>
  <c r="P177" i="6"/>
  <c r="Q177" i="6"/>
  <c r="P106" i="6"/>
  <c r="Q106" i="6"/>
  <c r="P47" i="6"/>
  <c r="Q47" i="6"/>
  <c r="P139" i="6"/>
  <c r="Q139" i="6"/>
  <c r="P100" i="6"/>
  <c r="Q100" i="6"/>
  <c r="P108" i="6"/>
  <c r="Q108" i="6"/>
  <c r="P169" i="6"/>
  <c r="Q169" i="6"/>
  <c r="P119" i="6"/>
  <c r="Q119" i="6"/>
  <c r="P162" i="6"/>
  <c r="Q162" i="6"/>
  <c r="P173" i="6"/>
  <c r="Q173" i="6"/>
  <c r="P63" i="6"/>
  <c r="Q63" i="6"/>
  <c r="P43" i="6"/>
  <c r="Q43" i="6"/>
  <c r="P52" i="6"/>
  <c r="Q52" i="6"/>
  <c r="P156" i="6"/>
  <c r="Q156" i="6"/>
  <c r="P76" i="6"/>
  <c r="Q76" i="6"/>
  <c r="P144" i="6"/>
  <c r="Q144" i="6"/>
  <c r="P160" i="6"/>
  <c r="Q160" i="6"/>
  <c r="P133" i="6"/>
  <c r="Q133" i="6"/>
  <c r="P101" i="6"/>
  <c r="Q101" i="6"/>
  <c r="P69" i="6"/>
  <c r="Q69" i="6"/>
  <c r="P37" i="6"/>
  <c r="Q37" i="6"/>
  <c r="P112" i="6"/>
  <c r="Q112" i="6"/>
  <c r="P80" i="6"/>
  <c r="Q80" i="6"/>
  <c r="P48" i="6"/>
  <c r="Q48" i="6"/>
  <c r="P19" i="6"/>
  <c r="Q19" i="6"/>
  <c r="P153" i="6"/>
  <c r="Q153" i="6"/>
  <c r="P121" i="6"/>
  <c r="Q121" i="6"/>
  <c r="P89" i="6"/>
  <c r="Q89" i="6"/>
  <c r="P57" i="6"/>
  <c r="Q57" i="6"/>
  <c r="P23" i="6"/>
  <c r="Q23" i="6"/>
  <c r="P34" i="6"/>
  <c r="Q34" i="6"/>
  <c r="P170" i="6"/>
  <c r="Q170" i="6"/>
  <c r="P123" i="6"/>
  <c r="Q123" i="6"/>
  <c r="P42" i="6"/>
  <c r="Q42" i="6"/>
  <c r="P115" i="6"/>
  <c r="Q115" i="6"/>
  <c r="P111" i="6"/>
  <c r="Q111" i="6"/>
  <c r="P146" i="6"/>
  <c r="Q146" i="6"/>
  <c r="P163" i="6"/>
  <c r="Q163" i="6"/>
  <c r="P167" i="6"/>
  <c r="Q167" i="6"/>
  <c r="P50" i="6"/>
  <c r="Q50" i="6"/>
  <c r="P114" i="6"/>
  <c r="Q114" i="6"/>
  <c r="P155" i="6"/>
  <c r="Q155" i="6"/>
  <c r="P166" i="6"/>
  <c r="Q166" i="6"/>
  <c r="P35" i="6"/>
  <c r="Q35" i="6"/>
  <c r="P58" i="6"/>
  <c r="Q58" i="6"/>
  <c r="P122" i="6"/>
  <c r="Q122" i="6"/>
  <c r="P46" i="6"/>
  <c r="Q46" i="6"/>
  <c r="P178" i="6"/>
  <c r="Q178" i="6"/>
  <c r="P127" i="6"/>
  <c r="Q127" i="6"/>
  <c r="P67" i="6"/>
  <c r="Q67" i="6"/>
  <c r="P30" i="6"/>
  <c r="Q30" i="6"/>
  <c r="P171" i="6"/>
  <c r="Q171" i="6"/>
  <c r="P68" i="6"/>
  <c r="Q68" i="6"/>
  <c r="P159" i="6"/>
  <c r="Q159" i="6"/>
  <c r="P28" i="6"/>
  <c r="Q28" i="6"/>
  <c r="P66" i="6"/>
  <c r="Q66" i="6"/>
  <c r="P130" i="6"/>
  <c r="Q130" i="6"/>
  <c r="P54" i="6"/>
  <c r="Q54" i="6"/>
  <c r="P78" i="6"/>
  <c r="Q78" i="6"/>
  <c r="P51" i="6"/>
  <c r="Q51" i="6"/>
  <c r="P71" i="6"/>
  <c r="Q71" i="6"/>
  <c r="P135" i="6"/>
  <c r="Q135" i="6"/>
  <c r="P75" i="6"/>
  <c r="Q75" i="6"/>
  <c r="P99" i="6"/>
  <c r="Q99" i="6"/>
  <c r="P62" i="6"/>
  <c r="Q62" i="6"/>
  <c r="P74" i="6"/>
  <c r="Q74" i="6"/>
  <c r="P25" i="6"/>
  <c r="Q25" i="6"/>
  <c r="P86" i="6"/>
  <c r="Q86" i="6"/>
  <c r="P110" i="6"/>
  <c r="Q110" i="6"/>
  <c r="P83" i="6"/>
  <c r="Q83" i="6"/>
  <c r="P79" i="6"/>
  <c r="Q79" i="6"/>
  <c r="P27" i="6"/>
  <c r="Q27" i="6"/>
  <c r="P107" i="6"/>
  <c r="Q107" i="6"/>
  <c r="P131" i="6"/>
  <c r="Q131" i="6"/>
  <c r="P94" i="6"/>
  <c r="Q94" i="6"/>
  <c r="P18" i="6"/>
  <c r="Q18" i="6"/>
  <c r="P148" i="6"/>
  <c r="Q148" i="6"/>
  <c r="P36" i="6"/>
  <c r="Q36" i="6"/>
  <c r="P15" i="6"/>
  <c r="P152" i="6"/>
  <c r="Q152" i="6"/>
  <c r="P44" i="6"/>
  <c r="Q44" i="6"/>
  <c r="P124" i="6"/>
  <c r="Q124" i="6"/>
  <c r="P17" i="6"/>
  <c r="Q17" i="6"/>
  <c r="P157" i="6"/>
  <c r="Q157" i="6"/>
  <c r="P125" i="6"/>
  <c r="Q125" i="6"/>
  <c r="P93" i="6"/>
  <c r="Q93" i="6"/>
  <c r="P61" i="6"/>
  <c r="Q61" i="6"/>
  <c r="P29" i="6"/>
  <c r="Q29" i="6"/>
  <c r="P104" i="6"/>
  <c r="Q104" i="6"/>
  <c r="P72" i="6"/>
  <c r="Q72" i="6"/>
  <c r="P40" i="6"/>
  <c r="Q40" i="6"/>
  <c r="P180" i="6"/>
  <c r="Q180" i="6"/>
  <c r="P145" i="6"/>
  <c r="Q145" i="6"/>
  <c r="P113" i="6"/>
  <c r="Q113" i="6"/>
  <c r="P81" i="6"/>
  <c r="Q81" i="6"/>
  <c r="P49" i="6"/>
  <c r="Q49" i="6"/>
  <c r="AY22" i="6"/>
  <c r="BA22" i="6"/>
  <c r="BB22" i="6"/>
  <c r="AY21" i="6"/>
  <c r="BA21" i="6"/>
  <c r="BB21" i="6"/>
  <c r="AY20" i="6"/>
  <c r="BA20" i="6"/>
  <c r="BB20" i="6"/>
  <c r="AY18" i="6"/>
  <c r="BA18" i="6"/>
  <c r="BB18" i="6"/>
  <c r="AY17" i="6"/>
  <c r="BA17" i="6"/>
  <c r="BB17" i="6"/>
  <c r="Q9" i="6"/>
  <c r="CE85" i="6"/>
  <c r="P13" i="6"/>
  <c r="AQ70" i="6"/>
  <c r="AW70" i="6"/>
  <c r="AP55" i="6"/>
  <c r="AQ67" i="6"/>
  <c r="AW67" i="6"/>
  <c r="AP52" i="6"/>
  <c r="AP56" i="6"/>
  <c r="AU57" i="6"/>
  <c r="AU61" i="6"/>
  <c r="AQ64" i="6"/>
  <c r="AQ68" i="6"/>
  <c r="AN51" i="6"/>
  <c r="AN55" i="6"/>
  <c r="AW50" i="6"/>
  <c r="AW52" i="6"/>
  <c r="AW64" i="6"/>
  <c r="AW68" i="6"/>
  <c r="AO56" i="6"/>
  <c r="AO60" i="6"/>
  <c r="AO64" i="6"/>
  <c r="AO72" i="6"/>
  <c r="AN58" i="6"/>
  <c r="AN68" i="6"/>
  <c r="AX57" i="6"/>
  <c r="AX61" i="6"/>
  <c r="AX65" i="6"/>
  <c r="AX73" i="6"/>
  <c r="AP53" i="6"/>
  <c r="AP57" i="6"/>
  <c r="AP65" i="6"/>
  <c r="AP69" i="6"/>
  <c r="AO50" i="6"/>
  <c r="AU58" i="6"/>
  <c r="AU62" i="6"/>
  <c r="AU66" i="6"/>
  <c r="AX50" i="6"/>
  <c r="AQ53" i="6"/>
  <c r="AQ57" i="6"/>
  <c r="AQ61" i="6"/>
  <c r="AQ65" i="6"/>
  <c r="AQ69" i="6"/>
  <c r="AQ73" i="6"/>
  <c r="AV54" i="6"/>
  <c r="AV58" i="6"/>
  <c r="AV62" i="6"/>
  <c r="AV67" i="6"/>
  <c r="AV71" i="6"/>
  <c r="AN52" i="6"/>
  <c r="AN56" i="6"/>
  <c r="AN64" i="6"/>
  <c r="AN57" i="6"/>
  <c r="AW53" i="6"/>
  <c r="AW57" i="6"/>
  <c r="AW61" i="6"/>
  <c r="AW65" i="6"/>
  <c r="AW69" i="6"/>
  <c r="AW73" i="6"/>
  <c r="AO53" i="6"/>
  <c r="AO57" i="6"/>
  <c r="AO61" i="6"/>
  <c r="AO65" i="6"/>
  <c r="AO69" i="6"/>
  <c r="AO73" i="6"/>
  <c r="AN61" i="6"/>
  <c r="AN71" i="6"/>
  <c r="AX54" i="6"/>
  <c r="AX58" i="6"/>
  <c r="AX62" i="6"/>
  <c r="AX66" i="6"/>
  <c r="AX70" i="6"/>
  <c r="AU50" i="6"/>
  <c r="AP54" i="6"/>
  <c r="AP58" i="6"/>
  <c r="AP62" i="6"/>
  <c r="AP66" i="6"/>
  <c r="AP70" i="6"/>
  <c r="AN65" i="6"/>
  <c r="AV61" i="6"/>
  <c r="AQ52" i="6"/>
  <c r="AP72" i="6"/>
  <c r="AX60" i="6"/>
  <c r="AW51" i="6"/>
  <c r="AQ51" i="6"/>
  <c r="AX63" i="6"/>
  <c r="AW54" i="6"/>
  <c r="AQ54" i="6"/>
  <c r="AV57" i="6"/>
  <c r="AU73" i="6"/>
  <c r="AP68" i="6"/>
  <c r="AP73" i="6"/>
  <c r="AN54" i="6"/>
  <c r="AU60" i="6"/>
  <c r="AN63" i="6"/>
  <c r="AN59" i="6"/>
  <c r="AU59" i="6"/>
  <c r="AO59" i="6"/>
  <c r="AV60" i="6"/>
  <c r="AP71" i="6"/>
  <c r="AO62" i="6"/>
  <c r="AV63" i="6"/>
  <c r="AU70" i="6"/>
  <c r="AU54" i="6"/>
  <c r="AP61" i="6"/>
  <c r="AX69" i="6"/>
  <c r="AX53" i="6"/>
  <c r="AO68" i="6"/>
  <c r="AO52" i="6"/>
  <c r="AW60" i="6"/>
  <c r="AN72" i="6"/>
  <c r="AV70" i="6"/>
  <c r="AV53" i="6"/>
  <c r="AQ60" i="6"/>
  <c r="AU69" i="6"/>
  <c r="AU53" i="6"/>
  <c r="AP64" i="6"/>
  <c r="AX72" i="6"/>
  <c r="AX56" i="6"/>
  <c r="AO71" i="6"/>
  <c r="AO55" i="6"/>
  <c r="AW63" i="6"/>
  <c r="AV64" i="6"/>
  <c r="AV73" i="6"/>
  <c r="AV56" i="6"/>
  <c r="AQ63" i="6"/>
  <c r="AU72" i="6"/>
  <c r="AU56" i="6"/>
  <c r="AP67" i="6"/>
  <c r="AP51" i="6"/>
  <c r="AX59" i="6"/>
  <c r="AP50" i="6"/>
  <c r="AO58" i="6"/>
  <c r="AW66" i="6"/>
  <c r="AN73" i="6"/>
  <c r="AN53" i="6"/>
  <c r="AV59" i="6"/>
  <c r="AQ66" i="6"/>
  <c r="AU71" i="6"/>
  <c r="AU55" i="6"/>
  <c r="AW72" i="6"/>
  <c r="AW56" i="6"/>
  <c r="AN62" i="6"/>
  <c r="AV66" i="6"/>
  <c r="AQ72" i="6"/>
  <c r="AQ56" i="6"/>
  <c r="AU65" i="6"/>
  <c r="AQ50" i="6"/>
  <c r="AP60" i="6"/>
  <c r="AX68" i="6"/>
  <c r="AX52" i="6"/>
  <c r="AO67" i="6"/>
  <c r="AO51" i="6"/>
  <c r="AW59" i="6"/>
  <c r="AN69" i="6"/>
  <c r="AV69" i="6"/>
  <c r="AV51" i="6"/>
  <c r="AQ59" i="6"/>
  <c r="AU68" i="6"/>
  <c r="AU52" i="6"/>
  <c r="AP63" i="6"/>
  <c r="AX71" i="6"/>
  <c r="AX55" i="6"/>
  <c r="AO70" i="6"/>
  <c r="AO54" i="6"/>
  <c r="AW62" i="6"/>
  <c r="AV52" i="6"/>
  <c r="AV72" i="6"/>
  <c r="AV55" i="6"/>
  <c r="AQ62" i="6"/>
  <c r="AU67" i="6"/>
  <c r="AU51" i="6"/>
  <c r="AX64" i="6"/>
  <c r="AN66" i="6"/>
  <c r="AO63" i="6"/>
  <c r="AW71" i="6"/>
  <c r="AW55" i="6"/>
  <c r="AN60" i="6"/>
  <c r="AV65" i="6"/>
  <c r="AQ71" i="6"/>
  <c r="AQ55" i="6"/>
  <c r="AU64" i="6"/>
  <c r="AN70" i="6"/>
  <c r="AP59" i="6"/>
  <c r="AX67" i="6"/>
  <c r="AX51" i="6"/>
  <c r="AO66" i="6"/>
  <c r="AV50" i="6"/>
  <c r="AW58" i="6"/>
  <c r="AN67" i="6"/>
  <c r="AV68" i="6"/>
  <c r="AN50" i="6"/>
  <c r="AQ58" i="6"/>
  <c r="AU63" i="6"/>
  <c r="CE89" i="6"/>
  <c r="CE96" i="6"/>
  <c r="CE95" i="6"/>
  <c r="CE102" i="6"/>
  <c r="CE105" i="6"/>
  <c r="CE92" i="6"/>
  <c r="CE98" i="6"/>
  <c r="CE101" i="6"/>
  <c r="CE104" i="6"/>
  <c r="CE107" i="6"/>
  <c r="CE91" i="6"/>
  <c r="CE109" i="6"/>
  <c r="CE94" i="6"/>
  <c r="CE97" i="6"/>
  <c r="CE100" i="6"/>
  <c r="CE103" i="6"/>
  <c r="CE106" i="6"/>
  <c r="CE90" i="6"/>
  <c r="CE93" i="6"/>
  <c r="CE99" i="6"/>
  <c r="CE108" i="6"/>
</calcChain>
</file>

<file path=xl/sharedStrings.xml><?xml version="1.0" encoding="utf-8"?>
<sst xmlns="http://schemas.openxmlformats.org/spreadsheetml/2006/main" count="1030" uniqueCount="648">
  <si>
    <t>X Value</t>
  </si>
  <si>
    <t>Y Value = X^2</t>
  </si>
  <si>
    <t>Mean</t>
  </si>
  <si>
    <t>Sum Squared Total
( Y - Mean )^2</t>
  </si>
  <si>
    <t>Total</t>
  </si>
  <si>
    <t>R^2</t>
  </si>
  <si>
    <t>Plot the mean</t>
  </si>
  <si>
    <t>X</t>
  </si>
  <si>
    <t>Y</t>
  </si>
  <si>
    <t>Episode</t>
  </si>
  <si>
    <t>Season 7</t>
  </si>
  <si>
    <t>Viewers (Millions)</t>
  </si>
  <si>
    <t>https://en.wikipedia.org/wiki/List_of_Modern_Family_episodes</t>
  </si>
  <si>
    <t>Season</t>
  </si>
  <si>
    <t>Season 1</t>
  </si>
  <si>
    <t>Season 2</t>
  </si>
  <si>
    <t>Season 3</t>
  </si>
  <si>
    <t>Season 4</t>
  </si>
  <si>
    <t>Season 5</t>
  </si>
  <si>
    <t>Season 6</t>
  </si>
  <si>
    <t>Episode Number 
In A Season 
(X)</t>
  </si>
  <si>
    <t>data source</t>
  </si>
  <si>
    <t>Average</t>
  </si>
  <si>
    <r>
      <t>( x - x</t>
    </r>
    <r>
      <rPr>
        <sz val="14"/>
        <color theme="1"/>
        <rFont val="Calibri"/>
        <family val="2"/>
      </rPr>
      <t>̅ )</t>
    </r>
  </si>
  <si>
    <r>
      <t>( y - y</t>
    </r>
    <r>
      <rPr>
        <sz val="14"/>
        <color theme="1"/>
        <rFont val="Calibri"/>
        <family val="2"/>
      </rPr>
      <t>̅ )</t>
    </r>
  </si>
  <si>
    <r>
      <t>( x - x</t>
    </r>
    <r>
      <rPr>
        <sz val="14"/>
        <color theme="1"/>
        <rFont val="Calibri"/>
        <family val="2"/>
      </rPr>
      <t>̅ ) * ( y - y̅ )</t>
    </r>
  </si>
  <si>
    <r>
      <t>( x - x</t>
    </r>
    <r>
      <rPr>
        <sz val="14"/>
        <color theme="1"/>
        <rFont val="Calibri"/>
        <family val="2"/>
      </rPr>
      <t>̅ )</t>
    </r>
    <r>
      <rPr>
        <vertAlign val="superscript"/>
        <sz val="14"/>
        <color theme="1"/>
        <rFont val="Calibri"/>
        <family val="2"/>
      </rPr>
      <t>2</t>
    </r>
  </si>
  <si>
    <r>
      <t>( y - y</t>
    </r>
    <r>
      <rPr>
        <sz val="14"/>
        <color theme="1"/>
        <rFont val="Calibri"/>
        <family val="2"/>
      </rPr>
      <t>̅ )</t>
    </r>
    <r>
      <rPr>
        <vertAlign val="superscript"/>
        <sz val="14"/>
        <color theme="1"/>
        <rFont val="Calibri"/>
        <family val="2"/>
      </rPr>
      <t>2</t>
    </r>
  </si>
  <si>
    <t>Sum</t>
  </si>
  <si>
    <t>Count</t>
  </si>
  <si>
    <t>Std Deviation</t>
  </si>
  <si>
    <t>Correlation</t>
  </si>
  <si>
    <t>Slope</t>
  </si>
  <si>
    <t>Intercept</t>
  </si>
  <si>
    <t>Normalized By Episode Number In A Season</t>
  </si>
  <si>
    <t>Normalized By Viewers Compared To Season 3</t>
  </si>
  <si>
    <t>Regression
Prediction
Y = 6x-5</t>
  </si>
  <si>
    <t xml:space="preserve">Regression Error Squared 
</t>
  </si>
  <si>
    <t>All Zeros</t>
  </si>
  <si>
    <t>https://en.wikipedia.org/wiki/List_of_U.S._states_and_territories_by_population</t>
  </si>
  <si>
    <t> California</t>
  </si>
  <si>
    <t> Texas</t>
  </si>
  <si>
    <t> Florida</t>
  </si>
  <si>
    <t> New York</t>
  </si>
  <si>
    <t> Illinois</t>
  </si>
  <si>
    <t> Pennsylvania</t>
  </si>
  <si>
    <t> Ohio</t>
  </si>
  <si>
    <t> Georgia</t>
  </si>
  <si>
    <t> North Carolina</t>
  </si>
  <si>
    <t> Michigan</t>
  </si>
  <si>
    <t> New Jersey</t>
  </si>
  <si>
    <t> Virginia</t>
  </si>
  <si>
    <t> Washington</t>
  </si>
  <si>
    <t> Arizona</t>
  </si>
  <si>
    <t> Massachusetts</t>
  </si>
  <si>
    <t> Tennessee</t>
  </si>
  <si>
    <t> Indiana</t>
  </si>
  <si>
    <t> Missouri</t>
  </si>
  <si>
    <t> Maryland</t>
  </si>
  <si>
    <t> Wisconsin</t>
  </si>
  <si>
    <t> Colorado</t>
  </si>
  <si>
    <t> Minnesota</t>
  </si>
  <si>
    <t> South Carolina</t>
  </si>
  <si>
    <t> Alabama</t>
  </si>
  <si>
    <t> Louisiana</t>
  </si>
  <si>
    <t> Kentucky</t>
  </si>
  <si>
    <t> Oregon</t>
  </si>
  <si>
    <t> Oklahoma</t>
  </si>
  <si>
    <t> Connecticut</t>
  </si>
  <si>
    <t> Iowa</t>
  </si>
  <si>
    <t> Utah</t>
  </si>
  <si>
    <t> Mississippi</t>
  </si>
  <si>
    <t> Arkansas</t>
  </si>
  <si>
    <t> Nevada</t>
  </si>
  <si>
    <t> Kansas</t>
  </si>
  <si>
    <t> New Mexico</t>
  </si>
  <si>
    <t> Nebraska</t>
  </si>
  <si>
    <t> West Virginia</t>
  </si>
  <si>
    <t> Idaho</t>
  </si>
  <si>
    <t> Hawaii</t>
  </si>
  <si>
    <t> New Hampshire</t>
  </si>
  <si>
    <t> Maine</t>
  </si>
  <si>
    <t> Rhode Island</t>
  </si>
  <si>
    <t> Montana</t>
  </si>
  <si>
    <t> Delaware</t>
  </si>
  <si>
    <t> South Dakota</t>
  </si>
  <si>
    <t>  North Dakota</t>
  </si>
  <si>
    <t> Alaska</t>
  </si>
  <si>
    <t> Vermont</t>
  </si>
  <si>
    <t> Wyoming</t>
  </si>
  <si>
    <t>State</t>
  </si>
  <si>
    <t>Median</t>
  </si>
  <si>
    <t>(Population - Average)^2</t>
  </si>
  <si>
    <t>Population (Millions)</t>
  </si>
  <si>
    <t>(Population - Median)^2</t>
  </si>
  <si>
    <t>R squared</t>
  </si>
  <si>
    <t>Notional Viewers</t>
  </si>
  <si>
    <t>Viewers</t>
  </si>
  <si>
    <t>X^2</t>
  </si>
  <si>
    <t>slope</t>
  </si>
  <si>
    <t>https://en.wikipedia.org/wiki/Transistor_count</t>
  </si>
  <si>
    <t>Processor</t>
  </si>
  <si>
    <t>Date of introduction</t>
  </si>
  <si>
    <t>Transistor count</t>
  </si>
  <si>
    <t>Designer</t>
  </si>
  <si>
    <t>Process</t>
  </si>
  <si>
    <t>Area</t>
  </si>
  <si>
    <t>Year after 1970</t>
  </si>
  <si>
    <t>Intel 4004</t>
  </si>
  <si>
    <t>Intel</t>
  </si>
  <si>
    <t>10,000 nm</t>
  </si>
  <si>
    <t>12 mm²</t>
  </si>
  <si>
    <t>Intel 8008</t>
  </si>
  <si>
    <t>14 mm²</t>
  </si>
  <si>
    <t>Intel 8080</t>
  </si>
  <si>
    <t>6,000 nm</t>
  </si>
  <si>
    <t>20 mm²</t>
  </si>
  <si>
    <t>Motorola 6800</t>
  </si>
  <si>
    <t>Motorola</t>
  </si>
  <si>
    <t>16 mm²</t>
  </si>
  <si>
    <t>RCA 1802</t>
  </si>
  <si>
    <t>RCA</t>
  </si>
  <si>
    <t>5,000 nm</t>
  </si>
  <si>
    <t>27 mm²</t>
  </si>
  <si>
    <t>TMS 1000</t>
  </si>
  <si>
    <t>Texas Instruments</t>
  </si>
  <si>
    <t>8,000 nm</t>
  </si>
  <si>
    <t>MOS Technology 6502</t>
  </si>
  <si>
    <t>MOS Technology</t>
  </si>
  <si>
    <t>21 mm²</t>
  </si>
  <si>
    <t>Intel 8085</t>
  </si>
  <si>
    <t>3,000 nm</t>
  </si>
  <si>
    <t>Zilog Z80</t>
  </si>
  <si>
    <t>Zilog</t>
  </si>
  <si>
    <t>4,000 nm</t>
  </si>
  <si>
    <t>18 mm²</t>
  </si>
  <si>
    <t>Intel 8086</t>
  </si>
  <si>
    <t>33 mm²</t>
  </si>
  <si>
    <t>Motorola 6809</t>
  </si>
  <si>
    <t>Intel 8088</t>
  </si>
  <si>
    <t>Motorola 68000</t>
  </si>
  <si>
    <t>3,500 nm</t>
  </si>
  <si>
    <t>44 mm²</t>
  </si>
  <si>
    <t>WDC 65C02</t>
  </si>
  <si>
    <t>WDC</t>
  </si>
  <si>
    <t>6 mm²</t>
  </si>
  <si>
    <t>Intel 80186</t>
  </si>
  <si>
    <t>60 mm²</t>
  </si>
  <si>
    <t>Intel 80286</t>
  </si>
  <si>
    <t>1,500 nm</t>
  </si>
  <si>
    <t>49 mm²</t>
  </si>
  <si>
    <t>WDC 65C816</t>
  </si>
  <si>
    <t>9 mm²</t>
  </si>
  <si>
    <t>Motorola 68020</t>
  </si>
  <si>
    <t>2,000 nm</t>
  </si>
  <si>
    <t>85 mm²</t>
  </si>
  <si>
    <t>ARM 1</t>
  </si>
  <si>
    <t>Acorn</t>
  </si>
  <si>
    <t>50 mm²</t>
  </si>
  <si>
    <t>Intel 80386</t>
  </si>
  <si>
    <t>104 mm²</t>
  </si>
  <si>
    <t>Novix NC4016</t>
  </si>
  <si>
    <t>Harris Corporation</t>
  </si>
  <si>
    <t>ARM 2</t>
  </si>
  <si>
    <t>30 mm²</t>
  </si>
  <si>
    <t>TI Explorer's 32-bit Lisp machine chip</t>
  </si>
  <si>
    <t>DEC WRL MultiTitan</t>
  </si>
  <si>
    <t>DEC WRL</t>
  </si>
  <si>
    <t>61 mm²</t>
  </si>
  <si>
    <t>Intel i960</t>
  </si>
  <si>
    <t>600 nm</t>
  </si>
  <si>
    <t>ARM 3</t>
  </si>
  <si>
    <t>Intel 80486</t>
  </si>
  <si>
    <t>1000 nm</t>
  </si>
  <si>
    <t>173 mm²</t>
  </si>
  <si>
    <t>ARM 6</t>
  </si>
  <si>
    <t>ARM</t>
  </si>
  <si>
    <t>R4000</t>
  </si>
  <si>
    <t>MIPS</t>
  </si>
  <si>
    <t>1,000 nm</t>
  </si>
  <si>
    <t>213 mm²</t>
  </si>
  <si>
    <t>Pentium</t>
  </si>
  <si>
    <t>800 nm</t>
  </si>
  <si>
    <t>294 mm²</t>
  </si>
  <si>
    <t>ARM700</t>
  </si>
  <si>
    <t>68.51 mm²</t>
  </si>
  <si>
    <t>Pentium Pro</t>
  </si>
  <si>
    <t>500 nm</t>
  </si>
  <si>
    <t>307 mm²</t>
  </si>
  <si>
    <t>SA-110</t>
  </si>
  <si>
    <t>Acorn/DEC/Apple</t>
  </si>
  <si>
    <t>350 nm</t>
  </si>
  <si>
    <t>AMD K5</t>
  </si>
  <si>
    <t>AMD</t>
  </si>
  <si>
    <t>251 mm²</t>
  </si>
  <si>
    <t>AMD K6</t>
  </si>
  <si>
    <t>162 mm²</t>
  </si>
  <si>
    <t>Pentium II Klamath</t>
  </si>
  <si>
    <t>195 mm²</t>
  </si>
  <si>
    <t>Pentium II Deschutes</t>
  </si>
  <si>
    <t>250 nm</t>
  </si>
  <si>
    <t>113 mm²</t>
  </si>
  <si>
    <t>AMD K6-III</t>
  </si>
  <si>
    <t>118 mm²</t>
  </si>
  <si>
    <t>AMD K7</t>
  </si>
  <si>
    <t>184 mm²</t>
  </si>
  <si>
    <t>ARM 9TDMI</t>
  </si>
  <si>
    <t>4.8 mm²</t>
  </si>
  <si>
    <t>Pentium II Mobile Dixon</t>
  </si>
  <si>
    <t>180 nm</t>
  </si>
  <si>
    <t>180 mm²</t>
  </si>
  <si>
    <t>Pentium III Katmai</t>
  </si>
  <si>
    <t>128 mm²</t>
  </si>
  <si>
    <t>Pentium 4 Willamette</t>
  </si>
  <si>
    <t>217 mm²</t>
  </si>
  <si>
    <t>Pentium III Coppermine</t>
  </si>
  <si>
    <t>80 mm²</t>
  </si>
  <si>
    <t>Pentium III Tualatin</t>
  </si>
  <si>
    <t>130 nm</t>
  </si>
  <si>
    <t>81 mm²</t>
  </si>
  <si>
    <t>Itanium 2 McKinley</t>
  </si>
  <si>
    <t>421 mm²</t>
  </si>
  <si>
    <t>Pentium 4 Northwood</t>
  </si>
  <si>
    <t>145 mm²</t>
  </si>
  <si>
    <t>AMD K8</t>
  </si>
  <si>
    <t>193 mm²</t>
  </si>
  <si>
    <t>Barton</t>
  </si>
  <si>
    <t>101 mm²</t>
  </si>
  <si>
    <t>Itanium 2 Madison 6M</t>
  </si>
  <si>
    <t>374 mm²</t>
  </si>
  <si>
    <t>Itanium 2 with 9 MB cache</t>
  </si>
  <si>
    <t>432 mm²</t>
  </si>
  <si>
    <t>Pentium 4 Prescott</t>
  </si>
  <si>
    <t>90 nm</t>
  </si>
  <si>
    <t>110 mm²</t>
  </si>
  <si>
    <t>Pentium 4 Prescott-2M</t>
  </si>
  <si>
    <t>143 mm²</t>
  </si>
  <si>
    <t>Pentium D Smithfield</t>
  </si>
  <si>
    <t>206 mm²</t>
  </si>
  <si>
    <t>Cell</t>
  </si>
  <si>
    <t>Sony/IBM/Toshiba</t>
  </si>
  <si>
    <t>221 mm²</t>
  </si>
  <si>
    <t>Core 2 Duo Conroe</t>
  </si>
  <si>
    <t>65 nm</t>
  </si>
  <si>
    <t>Dual-core Itanium 2</t>
  </si>
  <si>
    <t>596 mm²</t>
  </si>
  <si>
    <t>Pentium 4 Cedar Mill</t>
  </si>
  <si>
    <t>90 mm²</t>
  </si>
  <si>
    <t>Pentium D Presler</t>
  </si>
  <si>
    <t>AMD K10 quad-core 2M L3</t>
  </si>
  <si>
    <t>283 mm²</t>
  </si>
  <si>
    <t>ARM Cortex-A9</t>
  </si>
  <si>
    <t>45 nm</t>
  </si>
  <si>
    <t>31 mm²</t>
  </si>
  <si>
    <t>Core 2 Duo Allendale</t>
  </si>
  <si>
    <t>111 mm²</t>
  </si>
  <si>
    <t>Core 2 Duo Wolfdale</t>
  </si>
  <si>
    <t>107 mm²</t>
  </si>
  <si>
    <t>POWER6</t>
  </si>
  <si>
    <t>IBM</t>
  </si>
  <si>
    <t>341 mm²</t>
  </si>
  <si>
    <t>AMD K10 quad-core 6M L3</t>
  </si>
  <si>
    <t>258 mm²</t>
  </si>
  <si>
    <t>Atom</t>
  </si>
  <si>
    <t>24 mm²</t>
  </si>
  <si>
    <t>Core 2 Duo Wolfdale 3M</t>
  </si>
  <si>
    <t>83 mm²</t>
  </si>
  <si>
    <t>Core i7 (Quad)</t>
  </si>
  <si>
    <t>263 mm²</t>
  </si>
  <si>
    <t>Six-core Xeon 7400</t>
  </si>
  <si>
    <t>503 mm²</t>
  </si>
  <si>
    <t>Six-core Opteron 2400</t>
  </si>
  <si>
    <t>346 mm²</t>
  </si>
  <si>
    <t>16-core SPARC T3</t>
  </si>
  <si>
    <t>Sun/Oracle</t>
  </si>
  <si>
    <t>40 nm</t>
  </si>
  <si>
    <t>377 mm²</t>
  </si>
  <si>
    <t>8-core POWER7 32M L3</t>
  </si>
  <si>
    <t>567 mm²</t>
  </si>
  <si>
    <t>8-core Xeon Nehalem-EX</t>
  </si>
  <si>
    <t>684 mm²</t>
  </si>
  <si>
    <t>Quad-core Itanium Tukwila</t>
  </si>
  <si>
    <t>699 mm²</t>
  </si>
  <si>
    <r>
      <t>Quad-core z196</t>
    </r>
    <r>
      <rPr>
        <vertAlign val="superscript"/>
        <sz val="11"/>
        <color theme="1"/>
        <rFont val="Calibri"/>
        <family val="2"/>
        <scheme val="minor"/>
      </rPr>
      <t>[20]</t>
    </r>
  </si>
  <si>
    <t>512 mm²</t>
  </si>
  <si>
    <t>Six-core Core i7 (Gulftown)</t>
  </si>
  <si>
    <t>32 nm</t>
  </si>
  <si>
    <t>240 mm²</t>
  </si>
  <si>
    <t>10-core Xeon Westmere-EX</t>
  </si>
  <si>
    <t>Quad-core + GPU Core i7</t>
  </si>
  <si>
    <t>216 mm²</t>
  </si>
  <si>
    <t>Six-core Core i7/8-core Xeon E5</t>
  </si>
  <si>
    <t>434 mm²</t>
  </si>
  <si>
    <t>61-core Xeon Phi</t>
  </si>
  <si>
    <t>22 nm</t>
  </si>
  <si>
    <t>720 mm²</t>
  </si>
  <si>
    <t>8-core AMD Bulldozer</t>
  </si>
  <si>
    <t>315 mm²</t>
  </si>
  <si>
    <t>8-core Itanium Poulson</t>
  </si>
  <si>
    <t>544 mm²</t>
  </si>
  <si>
    <t>8-core POWER7+ 80 MB L3 cache</t>
  </si>
  <si>
    <t>Quad-core + GPU AMD Trinity</t>
  </si>
  <si>
    <t>246 mm²</t>
  </si>
  <si>
    <t>Quad-core + GPU Core i7 Ivy Bridge</t>
  </si>
  <si>
    <t>160 mm²</t>
  </si>
  <si>
    <t>Six-core zEC12</t>
  </si>
  <si>
    <t>597 mm²</t>
  </si>
  <si>
    <t>12-core POWER8</t>
  </si>
  <si>
    <t>650 mm²</t>
  </si>
  <si>
    <t>Apple A7 (dual-core ARM64 "mobile SoC")</t>
  </si>
  <si>
    <t>Apple</t>
  </si>
  <si>
    <t>28 nm</t>
  </si>
  <si>
    <t>102 mm²</t>
  </si>
  <si>
    <t>Six-core Core i7 Ivy Bridge E</t>
  </si>
  <si>
    <t>256 mm²</t>
  </si>
  <si>
    <t>Xbox One main SoC</t>
  </si>
  <si>
    <t>Microsoft/AMD</t>
  </si>
  <si>
    <t>363 mm²</t>
  </si>
  <si>
    <t>15-core Xeon Ivy Bridge-EX</t>
  </si>
  <si>
    <t>541 mm²</t>
  </si>
  <si>
    <t>18-core Xeon Haswell-E5</t>
  </si>
  <si>
    <t>661 mm²</t>
  </si>
  <si>
    <t>8-core Core i7 Haswell-E</t>
  </si>
  <si>
    <t>355 mm²</t>
  </si>
  <si>
    <t>Apple A8 (dual-core ARM64 "mobile SoC")</t>
  </si>
  <si>
    <t>20 nm</t>
  </si>
  <si>
    <t>89 mm²</t>
  </si>
  <si>
    <t>Apple A8X (tri-core ARM64 "mobile SoC")</t>
  </si>
  <si>
    <t>Quad-core + GPU Core i7 Haswell</t>
  </si>
  <si>
    <t>177 mm²</t>
  </si>
  <si>
    <t>Duo-core + GPU Iris Core i7 Broadwell-U</t>
  </si>
  <si>
    <t>14 nm</t>
  </si>
  <si>
    <t>133 mm²</t>
  </si>
  <si>
    <t>IBM z13</t>
  </si>
  <si>
    <t>678 mm²</t>
  </si>
  <si>
    <t>IBM z13 Storage Controller</t>
  </si>
  <si>
    <t>Quad-core + GPU GT2 Core i7 Skylake K</t>
  </si>
  <si>
    <t>122 mm²</t>
  </si>
  <si>
    <t>SPARC M7</t>
  </si>
  <si>
    <t>Oracle</t>
  </si>
  <si>
    <t>22-core Xeon Broadwell-E5</t>
  </si>
  <si>
    <t>456 mm²</t>
  </si>
  <si>
    <t>Apple A10 (quad-core ARM64 "mobile SoC")</t>
  </si>
  <si>
    <t>16 FFC</t>
  </si>
  <si>
    <t>125 mm²</t>
  </si>
  <si>
    <t>Date</t>
  </si>
  <si>
    <t>All Data</t>
  </si>
  <si>
    <t>Normalized Viewers</t>
  </si>
  <si>
    <t>Regression Normalized Viewers</t>
  </si>
  <si>
    <t>Regression Error, Squared</t>
  </si>
  <si>
    <t>Regression Predicted Number Of Viewers</t>
  </si>
  <si>
    <t>Regression</t>
  </si>
  <si>
    <t>Regression Error</t>
  </si>
  <si>
    <t>Histogram Bins</t>
  </si>
  <si>
    <t>Bin</t>
  </si>
  <si>
    <t>More</t>
  </si>
  <si>
    <t>Frequency</t>
  </si>
  <si>
    <t>Standard Deviation</t>
  </si>
  <si>
    <t>-2 Std</t>
  </si>
  <si>
    <t>-1 Std</t>
  </si>
  <si>
    <t>+1 Std</t>
  </si>
  <si>
    <t>+2 Std</t>
  </si>
  <si>
    <t>Standard Deviations of Season 6 Viewers</t>
  </si>
  <si>
    <t>Standard Deviations of Season 8 Viewers</t>
  </si>
  <si>
    <t>Exxon Mobil</t>
  </si>
  <si>
    <t>Chevron</t>
  </si>
  <si>
    <t>ConocoPhillips</t>
  </si>
  <si>
    <t>BP</t>
  </si>
  <si>
    <t>Caterpillar</t>
  </si>
  <si>
    <t>Cummins</t>
  </si>
  <si>
    <t>Deere</t>
  </si>
  <si>
    <t>Coke</t>
  </si>
  <si>
    <t>Pepsi</t>
  </si>
  <si>
    <t>Kellogg</t>
  </si>
  <si>
    <t>x</t>
  </si>
  <si>
    <t>y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</si>
  <si>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</si>
  <si>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</si>
  <si>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</si>
  <si>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</si>
  <si>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</si>
  <si>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</si>
  <si>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</si>
  <si>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</si>
  <si>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Residual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</si>
  <si>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</si>
  <si>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</si>
  <si>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</si>
  <si>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</si>
  <si>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</si>
  <si>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</si>
  <si>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</si>
  <si>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</si>
  <si>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</si>
  <si>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</si>
  <si>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</si>
  <si>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</si>
  <si>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</si>
  <si>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X Variable 2</t>
  </si>
  <si>
    <t>Circle</t>
  </si>
  <si>
    <t>Smiley</t>
  </si>
  <si>
    <t>Sideways V</t>
  </si>
  <si>
    <t>No Correlation</t>
  </si>
  <si>
    <t>High Correlation</t>
  </si>
  <si>
    <t xml:space="preserve">Medium </t>
  </si>
  <si>
    <t>Low</t>
  </si>
  <si>
    <t>Completely Random</t>
  </si>
  <si>
    <t>Y = X^2</t>
  </si>
  <si>
    <t>avg</t>
  </si>
  <si>
    <t>Near zero</t>
  </si>
  <si>
    <t>50 random points 1-100</t>
  </si>
  <si>
    <t>Avg</t>
  </si>
  <si>
    <t>Stocks</t>
  </si>
  <si>
    <t>Standard Deviation 
of Annual Returns %</t>
  </si>
  <si>
    <t>Annual Return %</t>
  </si>
  <si>
    <t>Bonds</t>
  </si>
  <si>
    <t>From</t>
  </si>
  <si>
    <t>To</t>
  </si>
  <si>
    <t>Stocks = SP 500</t>
  </si>
  <si>
    <t>Bonds = Barclays Aggregate Bond Index</t>
  </si>
  <si>
    <t>Random Numbers
Simulating Bonds</t>
  </si>
  <si>
    <t>Random Numbers 
Simulating Stocks</t>
  </si>
  <si>
    <t>Std</t>
  </si>
  <si>
    <t>Rand</t>
  </si>
  <si>
    <t>Norm</t>
  </si>
  <si>
    <t>10% Stocks
90% Bonds</t>
  </si>
  <si>
    <t>20% Stocks
80% Bonds</t>
  </si>
  <si>
    <t>30% Stocks
70% Bonds</t>
  </si>
  <si>
    <t>40% Stocks
60% Bonds</t>
  </si>
  <si>
    <t>50% Stocks
50% Bonds</t>
  </si>
  <si>
    <t>60% Stocks
40% Bonds</t>
  </si>
  <si>
    <t>70% Stocks
30% Bonds</t>
  </si>
  <si>
    <t>80% Stocks
20% Bonds</t>
  </si>
  <si>
    <t>90% Stocks
10% Bonds</t>
  </si>
  <si>
    <t>% Stocks</t>
  </si>
  <si>
    <t>% Bonds</t>
  </si>
  <si>
    <t>Price</t>
  </si>
  <si>
    <t>Monthly Change In Price</t>
  </si>
  <si>
    <t>X - Exxon Mobil</t>
  </si>
  <si>
    <t>Y - Chevron</t>
  </si>
  <si>
    <r>
      <t>x - x</t>
    </r>
    <r>
      <rPr>
        <sz val="11"/>
        <color theme="1"/>
        <rFont val="Calibri"/>
        <family val="2"/>
      </rPr>
      <t>̄</t>
    </r>
  </si>
  <si>
    <r>
      <t>y-y</t>
    </r>
    <r>
      <rPr>
        <sz val="11"/>
        <color theme="1"/>
        <rFont val="Calibri"/>
        <family val="2"/>
      </rPr>
      <t>̄</t>
    </r>
  </si>
  <si>
    <t>(x - x̄) * (y-ȳ)</t>
  </si>
  <si>
    <r>
      <t>(x - x̄)</t>
    </r>
    <r>
      <rPr>
        <vertAlign val="superscript"/>
        <sz val="11"/>
        <color theme="1"/>
        <rFont val="Calibri"/>
        <family val="2"/>
        <scheme val="minor"/>
      </rPr>
      <t>2</t>
    </r>
  </si>
  <si>
    <r>
      <t>(y-ȳ)</t>
    </r>
    <r>
      <rPr>
        <vertAlign val="superscript"/>
        <sz val="11"/>
        <color theme="1"/>
        <rFont val="Calibri"/>
        <family val="2"/>
        <scheme val="minor"/>
      </rPr>
      <t>2</t>
    </r>
  </si>
  <si>
    <t>Monthly % Change In Price</t>
  </si>
  <si>
    <t>Conoco
Phillips</t>
  </si>
  <si>
    <t>Correlation Matrix of Montly Return Of Stocks In 2016</t>
  </si>
  <si>
    <t>Number of Viewers Of Modern Family - Unmodified Data</t>
  </si>
  <si>
    <t>Normalized 
Viewers
(Y)</t>
  </si>
  <si>
    <t>Actual
Viewers</t>
  </si>
  <si>
    <t>Regression
Prediction</t>
  </si>
  <si>
    <t>Error</t>
  </si>
  <si>
    <t>Error %</t>
  </si>
  <si>
    <t>Total Viewers (Millions) - Episode 2 - Season Finale</t>
  </si>
  <si>
    <t>Time Period</t>
  </si>
  <si>
    <t>Value</t>
  </si>
  <si>
    <t>Generic Exponential, 25% growth</t>
  </si>
  <si>
    <t>Generic Exponential Decay, 10%</t>
  </si>
  <si>
    <t>ln(transistors)</t>
  </si>
  <si>
    <t>average</t>
  </si>
  <si>
    <t>Sy</t>
  </si>
  <si>
    <t>Sx</t>
  </si>
  <si>
    <t>Modern Family Data
Seasons 3-7</t>
  </si>
  <si>
    <t>Season
x1</t>
  </si>
  <si>
    <t>Episode
x2</t>
  </si>
  <si>
    <t>Viewers
y</t>
  </si>
  <si>
    <t>y1
Residual of y when correlated with x1</t>
  </si>
  <si>
    <t>x2,1
Residual of x2 when correlated with x1</t>
  </si>
  <si>
    <t>Std Dev</t>
  </si>
  <si>
    <t>y vs x1</t>
  </si>
  <si>
    <t>x2 vs x1</t>
  </si>
  <si>
    <t>y21
Residual of y1 when correlated with x2,1</t>
  </si>
  <si>
    <t>y = b1 * x1 + b2 * x2 + a</t>
  </si>
  <si>
    <t>b1 = lamda1 - lamda2 * lamda3</t>
  </si>
  <si>
    <t>b2 = lamda 3</t>
  </si>
  <si>
    <t>b1</t>
  </si>
  <si>
    <t>b2</t>
  </si>
  <si>
    <t>a</t>
  </si>
  <si>
    <t>Lamda 1</t>
  </si>
  <si>
    <t>Lamda 2</t>
  </si>
  <si>
    <t>Lamda 3</t>
  </si>
  <si>
    <t>y1 vs x2,1</t>
  </si>
  <si>
    <t>y1</t>
  </si>
  <si>
    <t>x2,1</t>
  </si>
  <si>
    <t>x3,1</t>
  </si>
  <si>
    <t>x1</t>
  </si>
  <si>
    <t>x2</t>
  </si>
  <si>
    <t>x3</t>
  </si>
  <si>
    <t>Lamda</t>
  </si>
  <si>
    <t>y21</t>
  </si>
  <si>
    <t>x3,21</t>
  </si>
  <si>
    <t>Remove x3,21</t>
  </si>
  <si>
    <t>Remove x2,1</t>
  </si>
  <si>
    <t>Remove x1</t>
  </si>
  <si>
    <t>y321</t>
  </si>
  <si>
    <t>Absolute Value</t>
  </si>
  <si>
    <t>Squared Value</t>
  </si>
  <si>
    <t>Column</t>
  </si>
  <si>
    <t>Number of Starbucks</t>
  </si>
  <si>
    <t>California</t>
  </si>
  <si>
    <t>Texas</t>
  </si>
  <si>
    <t>Washington</t>
  </si>
  <si>
    <t>Illinois</t>
  </si>
  <si>
    <t>New York</t>
  </si>
  <si>
    <t>Florida</t>
  </si>
  <si>
    <t>Colorado</t>
  </si>
  <si>
    <t>Arizona</t>
  </si>
  <si>
    <t>Oregon</t>
  </si>
  <si>
    <t>Virginia</t>
  </si>
  <si>
    <t>Ohio</t>
  </si>
  <si>
    <t>Nevada</t>
  </si>
  <si>
    <t>Pennsylvania</t>
  </si>
  <si>
    <t>Georgia</t>
  </si>
  <si>
    <t>Michigan</t>
  </si>
  <si>
    <t>Maryland</t>
  </si>
  <si>
    <t>Massachusetts</t>
  </si>
  <si>
    <t>New Jersey</t>
  </si>
  <si>
    <t>Indiana</t>
  </si>
  <si>
    <t>North Carolina</t>
  </si>
  <si>
    <t>Minnesota</t>
  </si>
  <si>
    <t>Missouri</t>
  </si>
  <si>
    <t>Tennessee</t>
  </si>
  <si>
    <t>Wisconsin</t>
  </si>
  <si>
    <t>Connecticut</t>
  </si>
  <si>
    <t>Hawaii</t>
  </si>
  <si>
    <t>South Carolina</t>
  </si>
  <si>
    <t>Kentucky</t>
  </si>
  <si>
    <t>Kansas</t>
  </si>
  <si>
    <t>Utah</t>
  </si>
  <si>
    <t>Louisiana</t>
  </si>
  <si>
    <t>Iowa</t>
  </si>
  <si>
    <t>Alabama</t>
  </si>
  <si>
    <t>Idaho</t>
  </si>
  <si>
    <t>New Mexico</t>
  </si>
  <si>
    <t>Oklahoma</t>
  </si>
  <si>
    <t>Alaska</t>
  </si>
  <si>
    <t>Nebraska</t>
  </si>
  <si>
    <t>Mississippi</t>
  </si>
  <si>
    <t>Delaware</t>
  </si>
  <si>
    <t>Maine</t>
  </si>
  <si>
    <t>Arkansas</t>
  </si>
  <si>
    <t>Rhode Island</t>
  </si>
  <si>
    <t>West Virginia</t>
  </si>
  <si>
    <t>South Dakota</t>
  </si>
  <si>
    <t>Montana</t>
  </si>
  <si>
    <t>North Dakota</t>
  </si>
  <si>
    <t>New Hampshire</t>
  </si>
  <si>
    <t>Wyoming</t>
  </si>
  <si>
    <t>Vermont</t>
  </si>
  <si>
    <t>b3</t>
  </si>
  <si>
    <t xml:space="preserve">Random 0-&gt; 20   </t>
  </si>
  <si>
    <t xml:space="preserve">X1 * .5 + .5 * Rand(0-20)   </t>
  </si>
  <si>
    <t xml:space="preserve">X1 * .333 + X2 * .333 + .333 * Rand(0-20)   </t>
  </si>
  <si>
    <t xml:space="preserve">y = 2 * x1 + 3 * x2 -5*x3 + 7   </t>
  </si>
  <si>
    <t xml:space="preserve">  λ1</t>
  </si>
  <si>
    <t xml:space="preserve">  λ2</t>
  </si>
  <si>
    <t xml:space="preserve">  λ3</t>
  </si>
  <si>
    <t xml:space="preserve">  λ4</t>
  </si>
  <si>
    <t xml:space="preserve">  λ5</t>
  </si>
  <si>
    <t xml:space="preserve">  λ6</t>
  </si>
  <si>
    <t>Input</t>
  </si>
  <si>
    <t>Std. Deviation</t>
  </si>
  <si>
    <t>Regression 
Prediction</t>
  </si>
  <si>
    <t>Episode #</t>
  </si>
  <si>
    <t>Squared 
Error</t>
  </si>
  <si>
    <t>(Viewers - Avg) 
Squared</t>
  </si>
  <si>
    <t>R Squared</t>
  </si>
  <si>
    <t>Normal Curve</t>
  </si>
  <si>
    <t>Y1</t>
  </si>
  <si>
    <t>With More Offset</t>
  </si>
  <si>
    <t>Correl</t>
  </si>
  <si>
    <t>y vs x2,1</t>
  </si>
  <si>
    <t>Page</t>
  </si>
  <si>
    <t>Summary</t>
  </si>
  <si>
    <t>Starbucks</t>
  </si>
  <si>
    <t>The data with the number of starbucks in each state</t>
  </si>
  <si>
    <t>Data on # of starbucks from here  http://www.statemaster.com/graph/lif_sta_sto-lifestyle-starbucks-stores</t>
  </si>
  <si>
    <t>This worksheet introduces the concept of regression.  It shows a regression of the number of starbucks vs the population of each State in the United States</t>
  </si>
  <si>
    <t>This worksheet shows a linear regression line plotted on data that is a square.  It shows how to calculate R squared</t>
  </si>
  <si>
    <t>This shows a table of how to calculate R Squared</t>
  </si>
  <si>
    <t>This worksheet shows that R2 on pure horizontal data will be undefined.  It also shows that squared values are differentiable, whereas absolute values have a discontinuity</t>
  </si>
  <si>
    <t>R Squared - Horizontal Data</t>
  </si>
  <si>
    <t>This shows that R squared would be undefined on horiztonal data</t>
  </si>
  <si>
    <t>Correlation Shapes</t>
  </si>
  <si>
    <t>This shows a bunch of plots of different x, y data and the correlation between them</t>
  </si>
  <si>
    <t>This worksheet shows various x and y data, the correlation  that data has</t>
  </si>
  <si>
    <t>This worksheet shows a linear regression on the data for the 'Modern Family' Television show.  It is a single linear regression on the episode number, and also includes error bars</t>
  </si>
  <si>
    <t>This worksheet shows multiple regression on the 'Modern Family' data, with two independent variables, the episode number and the seaon number</t>
  </si>
  <si>
    <t>Note, on worksheets with final results, look for green and boxed</t>
  </si>
  <si>
    <t>Modern Family</t>
  </si>
  <si>
    <t>Modern Family Multiple Regression</t>
  </si>
  <si>
    <t>Single Regression on the Modern Family data vs episode number.   Modern Family data is normalized also has error bars</t>
  </si>
  <si>
    <t>Multiple linear regression on Modern Family data vs season number and episode number</t>
  </si>
  <si>
    <t>U.S. State Population</t>
  </si>
  <si>
    <t>This shows R Squared on U.S. population, and how you can do worse than zero if you choose a number like median instead of mean</t>
  </si>
  <si>
    <t>Data From  2010 census</t>
  </si>
  <si>
    <t xml:space="preserve">  Retrieved  1/27/2017</t>
  </si>
  <si>
    <t>This worksheet shows calculating summed squared error using the mean, and how R squared can be negative if you use something worse than the mean, like the median</t>
  </si>
  <si>
    <t>This worksheet shows typical exponential growth and decay curves, and how linear regression doesn't work for them</t>
  </si>
  <si>
    <t>Exponential Regression</t>
  </si>
  <si>
    <t>This shows typical exponential growth and decay curves, and how linear regression doesn't work for them</t>
  </si>
  <si>
    <t>data from</t>
  </si>
  <si>
    <t>retrieved 1/26/2017</t>
  </si>
  <si>
    <t>This worksheet shows doing linear regression on exponential data, by doing a log transformation, doing the linear regression, and then transforming back</t>
  </si>
  <si>
    <t>Moores Law Regression</t>
  </si>
  <si>
    <t>This shows regression on the Moores law data by doing a log transformation before doing the linear regression</t>
  </si>
  <si>
    <t>This worksheet shows the correlation of different stocks on a month to month basis in 2016</t>
  </si>
  <si>
    <t>Stock Correlation</t>
  </si>
  <si>
    <t>This shows the correlation of monthly change in stock price for 10 different stocks</t>
  </si>
  <si>
    <t>This worksheet shows a simulation of how investments that are uncorrelated to each other can give the same return with lower risk than correlated investments</t>
  </si>
  <si>
    <t>Stocks and Bonds</t>
  </si>
  <si>
    <t>This shows a simulation of how investments that are uncorrelated to each other can give the same return with lower risk than correlated investments</t>
  </si>
  <si>
    <t>This worksheet shows multiple regression with 3 independent variables</t>
  </si>
  <si>
    <t>Multiple Regression - 3 Independent</t>
  </si>
  <si>
    <t>This shows multiple regression with 3 independent variables</t>
  </si>
  <si>
    <t>Multiple Regression - 2 Independent</t>
  </si>
  <si>
    <t>This shows multiple regression with 2 independent variables</t>
  </si>
  <si>
    <t>This page shows how forcing an intercept can change the regression line</t>
  </si>
  <si>
    <t>This shows how changing an intercept can change the regression line</t>
  </si>
  <si>
    <t>This page shows what the residual is</t>
  </si>
  <si>
    <t>This page shows what the residual of the regression is</t>
  </si>
  <si>
    <t>n</t>
  </si>
  <si>
    <t>k</t>
  </si>
  <si>
    <t>Number of data points</t>
  </si>
  <si>
    <t>Number of 
independent variables</t>
  </si>
  <si>
    <t>Penalty Term</t>
  </si>
  <si>
    <t>This page shows how part of the adjusted R2 term changes as you increase the number of independent variables</t>
  </si>
  <si>
    <t>Adjusted R2</t>
  </si>
  <si>
    <t>This shows how the penalty part of the adjusted R squared term increases as you increase the number of independent variables</t>
  </si>
  <si>
    <t>This shows the solution as a sequence of simple linear regressions</t>
  </si>
  <si>
    <t>This shows the solutions via the Moore-Penrose Pseudo Inverse</t>
  </si>
  <si>
    <t xml:space="preserve">A = </t>
  </si>
  <si>
    <t>A' * A =</t>
  </si>
  <si>
    <r>
      <t>(A' * A)</t>
    </r>
    <r>
      <rPr>
        <vertAlign val="superscript"/>
        <sz val="11"/>
        <color theme="1"/>
        <rFont val="Calibri"/>
        <family val="2"/>
        <scheme val="minor"/>
      </rPr>
      <t>-1</t>
    </r>
  </si>
  <si>
    <t>* note, go here to see how the Matrix Inverse function MINVERSE works</t>
  </si>
  <si>
    <t>https://support.office.com/en-us/article/MINVERSE-function-11f55086-adde-4c9f-8eb9-59da2d72efc6</t>
  </si>
  <si>
    <r>
      <t>(A' * A)</t>
    </r>
    <r>
      <rPr>
        <vertAlign val="superscript"/>
        <sz val="11"/>
        <color theme="1"/>
        <rFont val="Calibri"/>
        <family val="2"/>
        <scheme val="minor"/>
      </rPr>
      <t xml:space="preserve">-1 </t>
    </r>
    <r>
      <rPr>
        <sz val="11"/>
        <color theme="1"/>
        <rFont val="Calibri"/>
        <family val="2"/>
        <scheme val="minor"/>
      </rPr>
      <t>* A'</t>
    </r>
  </si>
  <si>
    <t>A' =</t>
  </si>
  <si>
    <t>Matrix transpose</t>
  </si>
  <si>
    <t>Matrix</t>
  </si>
  <si>
    <t>Transpose * Matrix</t>
  </si>
  <si>
    <t>Inverse</t>
  </si>
  <si>
    <t>Moore Penrose Pseudo Inverse</t>
  </si>
  <si>
    <t>Final Result</t>
  </si>
  <si>
    <r>
      <t>( (A' * A)</t>
    </r>
    <r>
      <rPr>
        <vertAlign val="superscript"/>
        <sz val="11"/>
        <color theme="1"/>
        <rFont val="Calibri"/>
        <family val="2"/>
        <scheme val="minor"/>
      </rPr>
      <t xml:space="preserve">-1 </t>
    </r>
    <r>
      <rPr>
        <sz val="11"/>
        <color theme="1"/>
        <rFont val="Calibri"/>
        <family val="2"/>
        <scheme val="minor"/>
      </rPr>
      <t>* A' )  * y</t>
    </r>
  </si>
  <si>
    <t>A'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</si>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</sst>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000"/>
    <numFmt numFmtId="165" formatCode="0.000"/>
    <numFmt numFmtId="166" formatCode="0.0"/>
    <numFmt numFmtId="167" formatCode="_(* #,##0_);_(* \(#,##0\);_(* &quot;-&quot;??_);_(@_)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vertAlign val="superscript"/>
      <sz val="14"/>
      <color theme="1"/>
      <name val="Calibri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29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7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7" xfId="0" applyBorder="1"/>
    <xf numFmtId="0" fontId="0" fillId="0" borderId="0" xfId="0" applyFill="1" applyBorder="1" applyAlignment="1">
      <alignment horizontal="center" wrapText="1"/>
    </xf>
    <xf numFmtId="2" fontId="0" fillId="0" borderId="0" xfId="0" applyNumberFormat="1"/>
    <xf numFmtId="0" fontId="0" fillId="0" borderId="16" xfId="0" applyBorder="1"/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2" fontId="0" fillId="0" borderId="0" xfId="0" applyNumberFormat="1" applyBorder="1"/>
    <xf numFmtId="2" fontId="0" fillId="0" borderId="17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 applyBorder="1"/>
    <xf numFmtId="165" fontId="0" fillId="0" borderId="17" xfId="0" applyNumberFormat="1" applyBorder="1"/>
    <xf numFmtId="165" fontId="0" fillId="0" borderId="19" xfId="0" applyNumberFormat="1" applyBorder="1"/>
    <xf numFmtId="165" fontId="0" fillId="0" borderId="20" xfId="0" applyNumberFormat="1" applyBorder="1"/>
    <xf numFmtId="166" fontId="0" fillId="0" borderId="6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4" fontId="0" fillId="0" borderId="0" xfId="0" applyNumberFormat="1"/>
    <xf numFmtId="4" fontId="0" fillId="0" borderId="0" xfId="0" applyNumberFormat="1" applyAlignment="1">
      <alignment vertical="center" wrapText="1"/>
    </xf>
    <xf numFmtId="166" fontId="0" fillId="0" borderId="0" xfId="0" applyNumberFormat="1"/>
    <xf numFmtId="166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0" xfId="0" applyAlignment="1">
      <alignment wrapText="1"/>
    </xf>
    <xf numFmtId="0" fontId="7" fillId="0" borderId="0" xfId="2"/>
    <xf numFmtId="0" fontId="7" fillId="0" borderId="0" xfId="2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2" applyAlignment="1">
      <alignment vertical="center" wrapText="1"/>
    </xf>
    <xf numFmtId="0" fontId="0" fillId="0" borderId="0" xfId="0" applyAlignment="1">
      <alignment vertical="center" wrapText="1"/>
    </xf>
    <xf numFmtId="167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5" fontId="0" fillId="0" borderId="0" xfId="0" applyNumberFormat="1"/>
    <xf numFmtId="2" fontId="0" fillId="2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2" fontId="0" fillId="0" borderId="0" xfId="0" applyNumberFormat="1" applyFill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21" xfId="0" applyFill="1" applyBorder="1" applyAlignment="1"/>
    <xf numFmtId="0" fontId="10" fillId="0" borderId="22" xfId="0" applyFont="1" applyFill="1" applyBorder="1" applyAlignment="1">
      <alignment horizontal="center"/>
    </xf>
    <xf numFmtId="0" fontId="0" fillId="0" borderId="0" xfId="0" quotePrefix="1" applyBorder="1"/>
    <xf numFmtId="0" fontId="0" fillId="0" borderId="20" xfId="0" applyBorder="1"/>
    <xf numFmtId="0" fontId="0" fillId="0" borderId="0" xfId="0" applyAlignment="1">
      <alignment horizontal="center"/>
    </xf>
    <xf numFmtId="0" fontId="10" fillId="0" borderId="22" xfId="0" applyFont="1" applyFill="1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165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5" fontId="0" fillId="0" borderId="3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5" fontId="0" fillId="0" borderId="5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0" fontId="0" fillId="0" borderId="8" xfId="3" applyNumberFormat="1" applyFont="1" applyBorder="1" applyAlignment="1">
      <alignment horizontal="center"/>
    </xf>
    <xf numFmtId="10" fontId="0" fillId="0" borderId="23" xfId="3" applyNumberFormat="1" applyFont="1" applyBorder="1" applyAlignment="1">
      <alignment horizontal="center"/>
    </xf>
    <xf numFmtId="10" fontId="0" fillId="0" borderId="4" xfId="3" applyNumberFormat="1" applyFont="1" applyBorder="1" applyAlignment="1">
      <alignment horizontal="center"/>
    </xf>
    <xf numFmtId="10" fontId="0" fillId="0" borderId="9" xfId="3" applyNumberFormat="1" applyFont="1" applyBorder="1" applyAlignment="1">
      <alignment horizontal="center"/>
    </xf>
    <xf numFmtId="10" fontId="0" fillId="0" borderId="6" xfId="3" applyNumberFormat="1" applyFont="1" applyBorder="1" applyAlignment="1">
      <alignment horizontal="center"/>
    </xf>
    <xf numFmtId="0" fontId="0" fillId="0" borderId="0" xfId="0" applyAlignment="1"/>
    <xf numFmtId="10" fontId="0" fillId="0" borderId="0" xfId="3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8" xfId="3" applyNumberFormat="1" applyFont="1" applyBorder="1" applyAlignment="1">
      <alignment horizontal="center"/>
    </xf>
    <xf numFmtId="2" fontId="0" fillId="0" borderId="0" xfId="3" applyNumberFormat="1" applyFont="1" applyAlignment="1">
      <alignment horizontal="center"/>
    </xf>
    <xf numFmtId="15" fontId="0" fillId="0" borderId="0" xfId="0" applyNumberFormat="1" applyBorder="1" applyAlignment="1">
      <alignment horizontal="center"/>
    </xf>
    <xf numFmtId="2" fontId="0" fillId="0" borderId="0" xfId="3" applyNumberFormat="1" applyFont="1" applyBorder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0" borderId="14" xfId="3" applyNumberFormat="1" applyFont="1" applyBorder="1" applyAlignment="1">
      <alignment horizontal="center"/>
    </xf>
    <xf numFmtId="0" fontId="0" fillId="0" borderId="15" xfId="0" applyBorder="1"/>
    <xf numFmtId="0" fontId="0" fillId="0" borderId="8" xfId="0" applyBorder="1"/>
    <xf numFmtId="2" fontId="0" fillId="0" borderId="4" xfId="3" applyNumberFormat="1" applyFont="1" applyBorder="1" applyAlignment="1">
      <alignment horizontal="center"/>
    </xf>
    <xf numFmtId="2" fontId="0" fillId="0" borderId="9" xfId="3" applyNumberFormat="1" applyFont="1" applyBorder="1" applyAlignment="1">
      <alignment horizontal="center"/>
    </xf>
    <xf numFmtId="2" fontId="0" fillId="0" borderId="6" xfId="3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28" xfId="0" applyFill="1" applyBorder="1" applyAlignment="1">
      <alignment horizontal="center"/>
    </xf>
    <xf numFmtId="2" fontId="0" fillId="0" borderId="28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8" xfId="0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0" fillId="0" borderId="21" xfId="0" applyBorder="1" applyAlignment="1">
      <alignment vertical="center"/>
    </xf>
    <xf numFmtId="165" fontId="0" fillId="0" borderId="8" xfId="0" applyNumberFormat="1" applyBorder="1" applyAlignment="1">
      <alignment horizontal="center"/>
    </xf>
    <xf numFmtId="0" fontId="0" fillId="0" borderId="24" xfId="0" applyBorder="1" applyAlignment="1">
      <alignment horizontal="center" wrapText="1"/>
    </xf>
    <xf numFmtId="2" fontId="0" fillId="0" borderId="23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66" fontId="0" fillId="0" borderId="0" xfId="0" applyNumberFormat="1" applyBorder="1" applyAlignment="1">
      <alignment horizontal="center"/>
    </xf>
    <xf numFmtId="168" fontId="0" fillId="0" borderId="17" xfId="3" applyNumberFormat="1" applyFont="1" applyBorder="1" applyAlignment="1">
      <alignment horizontal="center"/>
    </xf>
    <xf numFmtId="166" fontId="0" fillId="0" borderId="19" xfId="0" applyNumberFormat="1" applyBorder="1" applyAlignment="1">
      <alignment horizontal="center"/>
    </xf>
    <xf numFmtId="168" fontId="0" fillId="0" borderId="20" xfId="3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0" fillId="4" borderId="30" xfId="0" applyFill="1" applyBorder="1" applyAlignment="1">
      <alignment horizontal="center"/>
    </xf>
    <xf numFmtId="165" fontId="0" fillId="4" borderId="3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2" fontId="0" fillId="0" borderId="37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2" fontId="0" fillId="0" borderId="40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2" fontId="0" fillId="0" borderId="0" xfId="0" applyNumberFormat="1" applyAlignment="1">
      <alignment horizontal="right"/>
    </xf>
    <xf numFmtId="0" fontId="11" fillId="0" borderId="0" xfId="0" applyFont="1" applyAlignment="1">
      <alignment horizontal="left"/>
    </xf>
    <xf numFmtId="165" fontId="0" fillId="0" borderId="3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6" borderId="0" xfId="0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2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5" xfId="0" applyFill="1" applyBorder="1"/>
    <xf numFmtId="0" fontId="0" fillId="7" borderId="16" xfId="0" applyFill="1" applyBorder="1" applyAlignment="1">
      <alignment horizontal="center"/>
    </xf>
    <xf numFmtId="165" fontId="0" fillId="7" borderId="17" xfId="0" applyNumberFormat="1" applyFill="1" applyBorder="1"/>
    <xf numFmtId="0" fontId="0" fillId="7" borderId="18" xfId="0" applyFill="1" applyBorder="1" applyAlignment="1">
      <alignment horizontal="center"/>
    </xf>
    <xf numFmtId="2" fontId="0" fillId="7" borderId="20" xfId="0" applyNumberFormat="1" applyFill="1" applyBorder="1"/>
    <xf numFmtId="0" fontId="0" fillId="7" borderId="13" xfId="0" applyFill="1" applyBorder="1" applyAlignment="1">
      <alignment horizontal="right"/>
    </xf>
    <xf numFmtId="164" fontId="0" fillId="7" borderId="15" xfId="0" applyNumberFormat="1" applyFill="1" applyBorder="1" applyAlignment="1">
      <alignment horizontal="center"/>
    </xf>
    <xf numFmtId="0" fontId="0" fillId="7" borderId="18" xfId="0" applyFill="1" applyBorder="1" applyAlignment="1">
      <alignment horizontal="right"/>
    </xf>
    <xf numFmtId="164" fontId="0" fillId="7" borderId="20" xfId="0" applyNumberFormat="1" applyFill="1" applyBorder="1" applyAlignment="1">
      <alignment horizontal="center"/>
    </xf>
    <xf numFmtId="164" fontId="0" fillId="7" borderId="43" xfId="0" applyNumberFormat="1" applyFill="1" applyBorder="1" applyAlignment="1">
      <alignment horizontal="center"/>
    </xf>
    <xf numFmtId="0" fontId="0" fillId="7" borderId="32" xfId="0" applyFill="1" applyBorder="1" applyAlignment="1">
      <alignment vertical="center"/>
    </xf>
    <xf numFmtId="0" fontId="0" fillId="7" borderId="42" xfId="0" applyFill="1" applyBorder="1" applyAlignment="1">
      <alignment horizontal="center"/>
    </xf>
    <xf numFmtId="165" fontId="0" fillId="7" borderId="42" xfId="0" applyNumberFormat="1" applyFill="1" applyBorder="1" applyAlignment="1">
      <alignment horizontal="center"/>
    </xf>
    <xf numFmtId="165" fontId="0" fillId="7" borderId="43" xfId="0" applyNumberFormat="1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0" fillId="7" borderId="13" xfId="0" applyFill="1" applyBorder="1"/>
    <xf numFmtId="0" fontId="0" fillId="7" borderId="18" xfId="0" applyFill="1" applyBorder="1"/>
    <xf numFmtId="0" fontId="0" fillId="7" borderId="20" xfId="0" applyFill="1" applyBorder="1"/>
    <xf numFmtId="0" fontId="2" fillId="7" borderId="42" xfId="0" applyFont="1" applyFill="1" applyBorder="1" applyAlignment="1">
      <alignment horizontal="center"/>
    </xf>
    <xf numFmtId="166" fontId="2" fillId="7" borderId="43" xfId="0" applyNumberFormat="1" applyFont="1" applyFill="1" applyBorder="1" applyAlignment="1">
      <alignment horizontal="center"/>
    </xf>
    <xf numFmtId="0" fontId="0" fillId="7" borderId="16" xfId="0" applyFill="1" applyBorder="1"/>
    <xf numFmtId="0" fontId="0" fillId="7" borderId="17" xfId="0" applyFill="1" applyBorder="1"/>
    <xf numFmtId="0" fontId="2" fillId="7" borderId="18" xfId="0" applyFont="1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165" fontId="0" fillId="7" borderId="20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2" applyAlignment="1">
      <alignment horizontal="left"/>
    </xf>
    <xf numFmtId="0" fontId="0" fillId="0" borderId="3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165" fontId="0" fillId="0" borderId="13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18" xfId="0" applyNumberFormat="1" applyBorder="1"/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165" fontId="0" fillId="0" borderId="17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0" fontId="0" fillId="3" borderId="0" xfId="0" applyFill="1" applyAlignment="1">
      <alignment horizontal="left" wrapText="1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0" fontId="0" fillId="0" borderId="25" xfId="3" applyNumberFormat="1" applyFont="1" applyFill="1" applyBorder="1" applyAlignment="1">
      <alignment horizontal="center"/>
    </xf>
    <xf numFmtId="10" fontId="0" fillId="0" borderId="26" xfId="3" applyNumberFormat="1" applyFont="1" applyFill="1" applyBorder="1" applyAlignment="1">
      <alignment horizontal="center"/>
    </xf>
    <xf numFmtId="10" fontId="0" fillId="0" borderId="27" xfId="3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17" xfId="0" applyBorder="1" applyAlignment="1">
      <alignment horizontal="right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Medium9"/>
  <colors>
    <mruColors>
      <color rgb="FF61E1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State Population Vs Number</a:t>
            </a:r>
            <a:r>
              <a:rPr lang="en-US" baseline="0"/>
              <a:t> Of Starbucks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50800"/>
            </c:spPr>
            <c:trendlineType val="linear"/>
            <c:dispRSqr val="0"/>
            <c:dispEq val="1"/>
            <c:trendlineLbl>
              <c:layout>
                <c:manualLayout>
                  <c:x val="-0.15193214206652839"/>
                  <c:y val="1.7111442150812228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2000"/>
                  </a:pPr>
                  <a:endParaRPr lang="en-US"/>
                </a:p>
              </c:txPr>
            </c:trendlineLbl>
          </c:trendline>
          <c:xVal>
            <c:numRef>
              <c:f>Starbucks!$C$7:$C$56</c:f>
              <c:numCache>
                <c:formatCode>#,##0.00</c:formatCode>
                <c:ptCount val="50"/>
                <c:pt idx="0">
                  <c:v>4.7801270000000002</c:v>
                </c:pt>
                <c:pt idx="1">
                  <c:v>0.71024900000000002</c:v>
                </c:pt>
                <c:pt idx="2">
                  <c:v>6.3923069999999997</c:v>
                </c:pt>
                <c:pt idx="3">
                  <c:v>2.9159579999999998</c:v>
                </c:pt>
                <c:pt idx="4">
                  <c:v>37.254503</c:v>
                </c:pt>
                <c:pt idx="5">
                  <c:v>5.0293239999999999</c:v>
                </c:pt>
                <c:pt idx="6">
                  <c:v>3.5741179999999999</c:v>
                </c:pt>
                <c:pt idx="7">
                  <c:v>0.89793599999999996</c:v>
                </c:pt>
                <c:pt idx="8">
                  <c:v>18.804622999999999</c:v>
                </c:pt>
                <c:pt idx="9">
                  <c:v>9.6886810000000008</c:v>
                </c:pt>
                <c:pt idx="10">
                  <c:v>1.360301</c:v>
                </c:pt>
                <c:pt idx="11">
                  <c:v>1.567652</c:v>
                </c:pt>
                <c:pt idx="12">
                  <c:v>12.831549000000001</c:v>
                </c:pt>
                <c:pt idx="13">
                  <c:v>6.484229</c:v>
                </c:pt>
                <c:pt idx="14">
                  <c:v>3.046869</c:v>
                </c:pt>
                <c:pt idx="15">
                  <c:v>2.853132</c:v>
                </c:pt>
                <c:pt idx="16">
                  <c:v>4.3393490000000003</c:v>
                </c:pt>
                <c:pt idx="17">
                  <c:v>4.5334789999999998</c:v>
                </c:pt>
                <c:pt idx="18">
                  <c:v>1.3283609999999999</c:v>
                </c:pt>
                <c:pt idx="19">
                  <c:v>5.7737850000000002</c:v>
                </c:pt>
                <c:pt idx="20">
                  <c:v>6.5478170000000002</c:v>
                </c:pt>
                <c:pt idx="21">
                  <c:v>9.8841289999999997</c:v>
                </c:pt>
                <c:pt idx="22">
                  <c:v>5.3039249999999996</c:v>
                </c:pt>
                <c:pt idx="23">
                  <c:v>2.9681030000000002</c:v>
                </c:pt>
                <c:pt idx="24">
                  <c:v>5.9889270000000003</c:v>
                </c:pt>
                <c:pt idx="25">
                  <c:v>0.98941699999999999</c:v>
                </c:pt>
                <c:pt idx="26">
                  <c:v>1.826341</c:v>
                </c:pt>
                <c:pt idx="27">
                  <c:v>2.700691</c:v>
                </c:pt>
                <c:pt idx="28">
                  <c:v>1.3164659999999999</c:v>
                </c:pt>
                <c:pt idx="29">
                  <c:v>8.7919359999999998</c:v>
                </c:pt>
                <c:pt idx="30">
                  <c:v>2.0591919999999999</c:v>
                </c:pt>
                <c:pt idx="31">
                  <c:v>19.378087000000001</c:v>
                </c:pt>
                <c:pt idx="32">
                  <c:v>9.5356919999999992</c:v>
                </c:pt>
                <c:pt idx="33">
                  <c:v>0.67259100000000005</c:v>
                </c:pt>
                <c:pt idx="34">
                  <c:v>11.536725000000001</c:v>
                </c:pt>
                <c:pt idx="35">
                  <c:v>3.7516159999999998</c:v>
                </c:pt>
                <c:pt idx="36">
                  <c:v>3.831073</c:v>
                </c:pt>
                <c:pt idx="37">
                  <c:v>12.702887</c:v>
                </c:pt>
                <c:pt idx="38">
                  <c:v>1.0529310000000001</c:v>
                </c:pt>
                <c:pt idx="39">
                  <c:v>4.6254010000000001</c:v>
                </c:pt>
                <c:pt idx="40">
                  <c:v>0.814191</c:v>
                </c:pt>
                <c:pt idx="41">
                  <c:v>6.3462750000000003</c:v>
                </c:pt>
                <c:pt idx="42">
                  <c:v>25.146104999999999</c:v>
                </c:pt>
                <c:pt idx="43">
                  <c:v>2.7638880000000001</c:v>
                </c:pt>
                <c:pt idx="44">
                  <c:v>0.625745</c:v>
                </c:pt>
                <c:pt idx="45">
                  <c:v>8.0010449999999995</c:v>
                </c:pt>
                <c:pt idx="46">
                  <c:v>6.7245429999999997</c:v>
                </c:pt>
                <c:pt idx="47">
                  <c:v>1.853011</c:v>
                </c:pt>
                <c:pt idx="48">
                  <c:v>5.6872889999999998</c:v>
                </c:pt>
                <c:pt idx="49">
                  <c:v>0.56376700000000002</c:v>
                </c:pt>
              </c:numCache>
            </c:numRef>
          </c:xVal>
          <c:yVal>
            <c:numRef>
              <c:f>Starbucks!$D$7:$D$56</c:f>
              <c:numCache>
                <c:formatCode>General</c:formatCode>
                <c:ptCount val="50"/>
                <c:pt idx="0">
                  <c:v>39</c:v>
                </c:pt>
                <c:pt idx="1">
                  <c:v>25</c:v>
                </c:pt>
                <c:pt idx="2">
                  <c:v>248</c:v>
                </c:pt>
                <c:pt idx="3">
                  <c:v>15</c:v>
                </c:pt>
                <c:pt idx="4" formatCode="#,##0">
                  <c:v>2010</c:v>
                </c:pt>
                <c:pt idx="5">
                  <c:v>322</c:v>
                </c:pt>
                <c:pt idx="6">
                  <c:v>76</c:v>
                </c:pt>
                <c:pt idx="7">
                  <c:v>16</c:v>
                </c:pt>
                <c:pt idx="8">
                  <c:v>375</c:v>
                </c:pt>
                <c:pt idx="9">
                  <c:v>168</c:v>
                </c:pt>
                <c:pt idx="10">
                  <c:v>59</c:v>
                </c:pt>
                <c:pt idx="11">
                  <c:v>39</c:v>
                </c:pt>
                <c:pt idx="12">
                  <c:v>412</c:v>
                </c:pt>
                <c:pt idx="13">
                  <c:v>140</c:v>
                </c:pt>
                <c:pt idx="14">
                  <c:v>40</c:v>
                </c:pt>
                <c:pt idx="15">
                  <c:v>45</c:v>
                </c:pt>
                <c:pt idx="16">
                  <c:v>47</c:v>
                </c:pt>
                <c:pt idx="17">
                  <c:v>42</c:v>
                </c:pt>
                <c:pt idx="18">
                  <c:v>16</c:v>
                </c:pt>
                <c:pt idx="19">
                  <c:v>156</c:v>
                </c:pt>
                <c:pt idx="20">
                  <c:v>155</c:v>
                </c:pt>
                <c:pt idx="21">
                  <c:v>158</c:v>
                </c:pt>
                <c:pt idx="22">
                  <c:v>115</c:v>
                </c:pt>
                <c:pt idx="23">
                  <c:v>19</c:v>
                </c:pt>
                <c:pt idx="24">
                  <c:v>90</c:v>
                </c:pt>
                <c:pt idx="25">
                  <c:v>13</c:v>
                </c:pt>
                <c:pt idx="26">
                  <c:v>25</c:v>
                </c:pt>
                <c:pt idx="27">
                  <c:v>193</c:v>
                </c:pt>
                <c:pt idx="28">
                  <c:v>11</c:v>
                </c:pt>
                <c:pt idx="29">
                  <c:v>146</c:v>
                </c:pt>
                <c:pt idx="30">
                  <c:v>38</c:v>
                </c:pt>
                <c:pt idx="31">
                  <c:v>384</c:v>
                </c:pt>
                <c:pt idx="32">
                  <c:v>132</c:v>
                </c:pt>
                <c:pt idx="33">
                  <c:v>12</c:v>
                </c:pt>
                <c:pt idx="34">
                  <c:v>203</c:v>
                </c:pt>
                <c:pt idx="35">
                  <c:v>34</c:v>
                </c:pt>
                <c:pt idx="36">
                  <c:v>243</c:v>
                </c:pt>
                <c:pt idx="37">
                  <c:v>183</c:v>
                </c:pt>
                <c:pt idx="38">
                  <c:v>14</c:v>
                </c:pt>
                <c:pt idx="39">
                  <c:v>49</c:v>
                </c:pt>
                <c:pt idx="40">
                  <c:v>13</c:v>
                </c:pt>
                <c:pt idx="41">
                  <c:v>87</c:v>
                </c:pt>
                <c:pt idx="42">
                  <c:v>604</c:v>
                </c:pt>
                <c:pt idx="43">
                  <c:v>44</c:v>
                </c:pt>
                <c:pt idx="44">
                  <c:v>4</c:v>
                </c:pt>
                <c:pt idx="45">
                  <c:v>241</c:v>
                </c:pt>
                <c:pt idx="46">
                  <c:v>559</c:v>
                </c:pt>
                <c:pt idx="47">
                  <c:v>13</c:v>
                </c:pt>
                <c:pt idx="48">
                  <c:v>83</c:v>
                </c:pt>
                <c:pt idx="49">
                  <c:v>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130816"/>
        <c:axId val="130711552"/>
      </c:scatterChart>
      <c:valAx>
        <c:axId val="14813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State Population - Millions - 2010 Census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ysClr val="windowText" lastClr="000000"/>
                </a:solidFill>
              </a:defRPr>
            </a:pPr>
            <a:endParaRPr lang="en-US"/>
          </a:p>
        </c:txPr>
        <c:crossAx val="130711552"/>
        <c:crosses val="autoZero"/>
        <c:crossBetween val="midCat"/>
      </c:valAx>
      <c:valAx>
        <c:axId val="13071155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Number Of Starbucks In The State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481308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Linear Regression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Data</c:v>
          </c:tx>
          <c:spPr>
            <a:ln w="38100">
              <a:noFill/>
            </a:ln>
          </c:spPr>
          <c:marker>
            <c:spPr>
              <a:ln w="38100"/>
            </c:spPr>
          </c:marker>
          <c:trendline>
            <c:name>Linear Regression</c:name>
            <c:spPr>
              <a:ln w="38100"/>
            </c:spPr>
            <c:trendlineType val="linear"/>
            <c:dispRSqr val="1"/>
            <c:dispEq val="1"/>
            <c:trendlineLbl>
              <c:layout>
                <c:manualLayout>
                  <c:x val="-0.22698505208071271"/>
                  <c:y val="-8.1430530987887419E-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en-US"/>
                </a:p>
              </c:txPr>
            </c:trendlineLbl>
          </c:trendline>
          <c:xVal>
            <c:numRef>
              <c:f>'R squared'!$D$5:$D$11</c:f>
              <c:numCache>
                <c:formatCode>General</c:formatCode>
                <c:ptCount val="7"/>
                <c:pt idx="0" formatCode="0">
                  <c:v>1.0000000000000001E-9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'R squared'!$E$5:$E$11</c:f>
              <c:numCache>
                <c:formatCode>General</c:formatCode>
                <c:ptCount val="7"/>
                <c:pt idx="0" formatCode="0">
                  <c:v>1.0000000000000001E-18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16</c:v>
                </c:pt>
                <c:pt idx="5">
                  <c:v>25</c:v>
                </c:pt>
                <c:pt idx="6">
                  <c:v>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207168"/>
        <c:axId val="133209088"/>
      </c:scatterChart>
      <c:valAx>
        <c:axId val="13320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X Value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33209088"/>
        <c:crosses val="autoZero"/>
        <c:crossBetween val="midCat"/>
      </c:valAx>
      <c:valAx>
        <c:axId val="1332090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Y Value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332071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  <c:overlay val="1"/>
    </c:legend>
    <c:plotVisOnly val="1"/>
    <c:dispBlanksAs val="gap"/>
    <c:showDLblsOverMax val="0"/>
  </c:chart>
  <c:spPr>
    <a:ln w="3810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Square</a:t>
            </a:r>
            <a:r>
              <a:rPr lang="en-US" baseline="0"/>
              <a:t> Regression line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Data</c:v>
          </c:tx>
          <c:spPr>
            <a:ln w="38100"/>
          </c:spPr>
          <c:marker>
            <c:spPr>
              <a:ln w="38100"/>
            </c:spPr>
          </c:marker>
          <c:trendline>
            <c:name>Power Regression</c:name>
            <c:spPr>
              <a:ln w="38100"/>
            </c:spPr>
            <c:trendlineType val="power"/>
            <c:dispRSqr val="1"/>
            <c:dispEq val="1"/>
            <c:trendlineLbl>
              <c:layout>
                <c:manualLayout>
                  <c:x val="-0.16259083301864308"/>
                  <c:y val="5.1617926653224122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en-US"/>
                </a:p>
              </c:txPr>
            </c:trendlineLbl>
          </c:trendline>
          <c:xVal>
            <c:numRef>
              <c:f>'R squared'!$D$5:$D$11</c:f>
              <c:numCache>
                <c:formatCode>General</c:formatCode>
                <c:ptCount val="7"/>
                <c:pt idx="0" formatCode="0">
                  <c:v>1.0000000000000001E-9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'R squared'!$E$5:$E$11</c:f>
              <c:numCache>
                <c:formatCode>General</c:formatCode>
                <c:ptCount val="7"/>
                <c:pt idx="0" formatCode="0">
                  <c:v>1.0000000000000001E-18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16</c:v>
                </c:pt>
                <c:pt idx="5">
                  <c:v>25</c:v>
                </c:pt>
                <c:pt idx="6">
                  <c:v>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492608"/>
        <c:axId val="141494528"/>
      </c:scatterChart>
      <c:valAx>
        <c:axId val="14149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X Value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41494528"/>
        <c:crosses val="autoZero"/>
        <c:crossBetween val="midCat"/>
      </c:valAx>
      <c:valAx>
        <c:axId val="141494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Y Value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414926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Sum Squared</a:t>
            </a:r>
            <a:r>
              <a:rPr lang="en-US" baseline="0"/>
              <a:t> Total Error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Data</c:v>
          </c:tx>
          <c:spPr>
            <a:ln w="38100">
              <a:noFill/>
            </a:ln>
          </c:spPr>
          <c:marker>
            <c:spPr>
              <a:ln w="38100"/>
            </c:spPr>
          </c:marker>
          <c:xVal>
            <c:numRef>
              <c:f>'R squared'!$D$5:$D$11</c:f>
              <c:numCache>
                <c:formatCode>General</c:formatCode>
                <c:ptCount val="7"/>
                <c:pt idx="0" formatCode="0">
                  <c:v>1.0000000000000001E-9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'R squared'!$E$5:$E$11</c:f>
              <c:numCache>
                <c:formatCode>General</c:formatCode>
                <c:ptCount val="7"/>
                <c:pt idx="0" formatCode="0">
                  <c:v>1.0000000000000001E-18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16</c:v>
                </c:pt>
                <c:pt idx="5">
                  <c:v>25</c:v>
                </c:pt>
                <c:pt idx="6">
                  <c:v>36</c:v>
                </c:pt>
              </c:numCache>
            </c:numRef>
          </c:yVal>
          <c:smooth val="1"/>
        </c:ser>
        <c:ser>
          <c:idx val="1"/>
          <c:order val="1"/>
          <c:tx>
            <c:v>Mean</c:v>
          </c:tx>
          <c:spPr>
            <a:ln w="57150"/>
          </c:spPr>
          <c:marker>
            <c:symbol val="none"/>
          </c:marker>
          <c:xVal>
            <c:numRef>
              <c:f>('R squared'!$D$5,'R squared'!$D$11)</c:f>
              <c:numCache>
                <c:formatCode>General</c:formatCode>
                <c:ptCount val="2"/>
                <c:pt idx="0" formatCode="0">
                  <c:v>1.0000000000000001E-9</c:v>
                </c:pt>
                <c:pt idx="1">
                  <c:v>6</c:v>
                </c:pt>
              </c:numCache>
            </c:numRef>
          </c:xVal>
          <c:yVal>
            <c:numRef>
              <c:f>('R squared'!$K$5,'R squared'!$K$11)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512064"/>
        <c:axId val="141518336"/>
      </c:scatterChart>
      <c:valAx>
        <c:axId val="14151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X Value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41518336"/>
        <c:crosses val="autoZero"/>
        <c:crossBetween val="midCat"/>
      </c:valAx>
      <c:valAx>
        <c:axId val="1415183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Y Value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415120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198113813808496"/>
          <c:y val="0.41858890249074782"/>
          <c:w val="0.1267280183216743"/>
          <c:h val="0.13030530420486575"/>
        </c:manualLayout>
      </c:layout>
      <c:overlay val="1"/>
    </c:legend>
    <c:plotVisOnly val="1"/>
    <c:dispBlanksAs val="gap"/>
    <c:showDLblsOverMax val="0"/>
  </c:chart>
  <c:spPr>
    <a:ln w="28575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Only Y Values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Data</c:v>
          </c:tx>
          <c:spPr>
            <a:ln w="38100">
              <a:noFill/>
            </a:ln>
          </c:spPr>
          <c:marker>
            <c:spPr>
              <a:ln w="38100"/>
            </c:spPr>
          </c:marker>
          <c:xVal>
            <c:numRef>
              <c:f>'R squared'!$M$5:$M$11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'R squared'!$E$5:$E$11</c:f>
              <c:numCache>
                <c:formatCode>General</c:formatCode>
                <c:ptCount val="7"/>
                <c:pt idx="0" formatCode="0">
                  <c:v>1.0000000000000001E-18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16</c:v>
                </c:pt>
                <c:pt idx="5">
                  <c:v>25</c:v>
                </c:pt>
                <c:pt idx="6">
                  <c:v>36</c:v>
                </c:pt>
              </c:numCache>
            </c:numRef>
          </c:yVal>
          <c:smooth val="1"/>
        </c:ser>
        <c:ser>
          <c:idx val="2"/>
          <c:order val="1"/>
          <c:tx>
            <c:v>Mean</c:v>
          </c:tx>
          <c:spPr>
            <a:ln w="57150"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 w="57150">
                <a:solidFill>
                  <a:srgbClr val="C00000"/>
                </a:solidFill>
              </a:ln>
            </c:spPr>
          </c:marker>
          <c:xVal>
            <c:numRef>
              <c:f>'R squared'!$M$5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'R squared'!$K$5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555968"/>
        <c:axId val="141759232"/>
      </c:scatterChart>
      <c:valAx>
        <c:axId val="141555968"/>
        <c:scaling>
          <c:orientation val="minMax"/>
          <c:max val="0.1"/>
          <c:min val="-0.1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X 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759232"/>
        <c:crosses val="autoZero"/>
        <c:crossBetween val="midCat"/>
      </c:valAx>
      <c:valAx>
        <c:axId val="1417592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Y Value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415559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198113813808496"/>
          <c:y val="0.41858890249074782"/>
          <c:w val="0.12634551079175704"/>
          <c:h val="0.13030530420486575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Horizontal Data</a:t>
            </a:r>
          </a:p>
        </c:rich>
      </c:tx>
      <c:layout>
        <c:manualLayout>
          <c:xMode val="edge"/>
          <c:yMode val="edge"/>
          <c:x val="0.38356933508311464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905074365704287E-2"/>
          <c:y val="0.17640055409740449"/>
          <c:w val="0.90681605424321965"/>
          <c:h val="0.70761956838728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0"/>
          </c:marker>
          <c:trendline>
            <c:spPr>
              <a:ln w="19050"/>
            </c:spPr>
            <c:trendlineType val="linear"/>
            <c:dispRSqr val="1"/>
            <c:dispEq val="1"/>
            <c:trendlineLbl>
              <c:layout>
                <c:manualLayout>
                  <c:x val="-0.26522090849401303"/>
                  <c:y val="9.2431786091358936E-2"/>
                </c:manualLayout>
              </c:layout>
              <c:numFmt formatCode="General" sourceLinked="0"/>
            </c:trendlineLbl>
          </c:trendline>
          <c:xVal>
            <c:numRef>
              <c:f>'R squared - horizontal data'!$E$8:$E$17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'R squared - horizontal data'!$F$8:$F$17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793536"/>
        <c:axId val="141807616"/>
      </c:scatterChart>
      <c:valAx>
        <c:axId val="14179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41807616"/>
        <c:crosses val="autoZero"/>
        <c:crossBetween val="midCat"/>
      </c:valAx>
      <c:valAx>
        <c:axId val="141807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417935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774592095917475E-2"/>
          <c:y val="5.2176989238001036E-2"/>
          <c:w val="0.92665423126999347"/>
          <c:h val="0.83009119002182896"/>
        </c:manualLayout>
      </c:layout>
      <c:scatterChart>
        <c:scatterStyle val="smoothMarker"/>
        <c:varyColors val="0"/>
        <c:ser>
          <c:idx val="0"/>
          <c:order val="0"/>
          <c:tx>
            <c:v>Absolute Value</c:v>
          </c:tx>
          <c:spPr>
            <a:ln w="50800"/>
          </c:spPr>
          <c:marker>
            <c:symbol val="none"/>
          </c:marker>
          <c:xVal>
            <c:numRef>
              <c:f>'R squared - horizontal data'!$R$8:$R$18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'R squared - horizontal data'!$S$8:$S$18</c:f>
              <c:numCache>
                <c:formatCode>General</c:formatCode>
                <c:ptCount val="11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yVal>
          <c:smooth val="0"/>
        </c:ser>
        <c:ser>
          <c:idx val="1"/>
          <c:order val="1"/>
          <c:tx>
            <c:v>Squared Value</c:v>
          </c:tx>
          <c:spPr>
            <a:ln w="76200">
              <a:prstDash val="sysDot"/>
            </a:ln>
          </c:spPr>
          <c:marker>
            <c:symbol val="none"/>
          </c:marker>
          <c:xVal>
            <c:numRef>
              <c:f>'R squared - horizontal data'!$R$8:$R$18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'R squared - horizontal data'!$T$8:$T$18</c:f>
              <c:numCache>
                <c:formatCode>General</c:formatCode>
                <c:ptCount val="11"/>
                <c:pt idx="2">
                  <c:v>9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845248"/>
        <c:axId val="141846784"/>
      </c:scatterChart>
      <c:valAx>
        <c:axId val="14184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41846784"/>
        <c:crosses val="autoZero"/>
        <c:crossBetween val="midCat"/>
      </c:valAx>
      <c:valAx>
        <c:axId val="141846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41845248"/>
        <c:crosses val="autoZero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70648067866435715"/>
          <c:y val="0.66409485864121942"/>
          <c:w val="0.27410857398256788"/>
          <c:h val="0.12422784598544825"/>
        </c:manualLayout>
      </c:layout>
      <c:overlay val="0"/>
    </c:legend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1"/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Correlation_Shapes!$AO$8:$AO$49</c:f>
              <c:numCache>
                <c:formatCode>General</c:formatCode>
                <c:ptCount val="42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-10</c:v>
                </c:pt>
                <c:pt idx="22">
                  <c:v>-9</c:v>
                </c:pt>
                <c:pt idx="23">
                  <c:v>-8</c:v>
                </c:pt>
                <c:pt idx="24">
                  <c:v>-7</c:v>
                </c:pt>
                <c:pt idx="25">
                  <c:v>-6</c:v>
                </c:pt>
                <c:pt idx="26">
                  <c:v>-5</c:v>
                </c:pt>
                <c:pt idx="27">
                  <c:v>-4</c:v>
                </c:pt>
                <c:pt idx="28">
                  <c:v>-3</c:v>
                </c:pt>
                <c:pt idx="29">
                  <c:v>-2</c:v>
                </c:pt>
                <c:pt idx="30">
                  <c:v>-1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</c:numCache>
            </c:numRef>
          </c:xVal>
          <c:yVal>
            <c:numRef>
              <c:f>Correlation_Shapes!$AP$8:$AP$49</c:f>
              <c:numCache>
                <c:formatCode>0.00</c:formatCode>
                <c:ptCount val="42"/>
                <c:pt idx="0" formatCode="General">
                  <c:v>0</c:v>
                </c:pt>
                <c:pt idx="1">
                  <c:v>4.358898943540674</c:v>
                </c:pt>
                <c:pt idx="2">
                  <c:v>6</c:v>
                </c:pt>
                <c:pt idx="3">
                  <c:v>7.1414284285428504</c:v>
                </c:pt>
                <c:pt idx="4">
                  <c:v>8</c:v>
                </c:pt>
                <c:pt idx="5">
                  <c:v>8.6602540378443873</c:v>
                </c:pt>
                <c:pt idx="6">
                  <c:v>9.1651513899116797</c:v>
                </c:pt>
                <c:pt idx="7">
                  <c:v>9.5393920141694561</c:v>
                </c:pt>
                <c:pt idx="8">
                  <c:v>9.7979589711327115</c:v>
                </c:pt>
                <c:pt idx="9">
                  <c:v>9.9498743710661994</c:v>
                </c:pt>
                <c:pt idx="10">
                  <c:v>10</c:v>
                </c:pt>
                <c:pt idx="11">
                  <c:v>9.9498743710661994</c:v>
                </c:pt>
                <c:pt idx="12">
                  <c:v>9.7979589711327115</c:v>
                </c:pt>
                <c:pt idx="13">
                  <c:v>9.5393920141694561</c:v>
                </c:pt>
                <c:pt idx="14">
                  <c:v>9.1651513899116797</c:v>
                </c:pt>
                <c:pt idx="15">
                  <c:v>8.6602540378443873</c:v>
                </c:pt>
                <c:pt idx="16">
                  <c:v>8</c:v>
                </c:pt>
                <c:pt idx="17">
                  <c:v>7.1414284285428504</c:v>
                </c:pt>
                <c:pt idx="18">
                  <c:v>6</c:v>
                </c:pt>
                <c:pt idx="19">
                  <c:v>4.358898943540674</c:v>
                </c:pt>
                <c:pt idx="20">
                  <c:v>0</c:v>
                </c:pt>
                <c:pt idx="21" formatCode="General">
                  <c:v>0</c:v>
                </c:pt>
                <c:pt idx="22">
                  <c:v>-4.358898943540674</c:v>
                </c:pt>
                <c:pt idx="23">
                  <c:v>-6</c:v>
                </c:pt>
                <c:pt idx="24">
                  <c:v>-7.1414284285428504</c:v>
                </c:pt>
                <c:pt idx="25">
                  <c:v>-8</c:v>
                </c:pt>
                <c:pt idx="26">
                  <c:v>-8.6602540378443873</c:v>
                </c:pt>
                <c:pt idx="27">
                  <c:v>-9.1651513899116797</c:v>
                </c:pt>
                <c:pt idx="28">
                  <c:v>-9.5393920141694561</c:v>
                </c:pt>
                <c:pt idx="29">
                  <c:v>-9.7979589711327115</c:v>
                </c:pt>
                <c:pt idx="30">
                  <c:v>-9.9498743710661994</c:v>
                </c:pt>
                <c:pt idx="31">
                  <c:v>-10</c:v>
                </c:pt>
                <c:pt idx="32">
                  <c:v>-9.9498743710661994</c:v>
                </c:pt>
                <c:pt idx="33">
                  <c:v>-9.7979589711327115</c:v>
                </c:pt>
                <c:pt idx="34">
                  <c:v>-9.5393920141694561</c:v>
                </c:pt>
                <c:pt idx="35">
                  <c:v>-9.1651513899116797</c:v>
                </c:pt>
                <c:pt idx="36">
                  <c:v>-8.6602540378443873</c:v>
                </c:pt>
                <c:pt idx="37">
                  <c:v>-8</c:v>
                </c:pt>
                <c:pt idx="38">
                  <c:v>-7.1414284285428504</c:v>
                </c:pt>
                <c:pt idx="39">
                  <c:v>-6</c:v>
                </c:pt>
                <c:pt idx="40">
                  <c:v>-4.358898943540674</c:v>
                </c:pt>
                <c:pt idx="4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931264"/>
        <c:axId val="141932800"/>
      </c:scatterChart>
      <c:valAx>
        <c:axId val="14193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932800"/>
        <c:crosses val="autoZero"/>
        <c:crossBetween val="midCat"/>
      </c:valAx>
      <c:valAx>
        <c:axId val="141932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1931264"/>
        <c:crosses val="autoZero"/>
        <c:crossBetween val="midCat"/>
      </c:valAx>
    </c:plotArea>
    <c:plotVisOnly val="1"/>
    <c:dispBlanksAs val="gap"/>
    <c:showDLblsOverMax val="0"/>
  </c:chart>
  <c:spPr>
    <a:ln w="28575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1"/>
          </c:marker>
          <c:xVal>
            <c:numRef>
              <c:f>Correlation_Shapes!$AR$8:$AR$49</c:f>
              <c:numCache>
                <c:formatCode>General</c:formatCode>
                <c:ptCount val="42"/>
                <c:pt idx="1">
                  <c:v>-5</c:v>
                </c:pt>
                <c:pt idx="2">
                  <c:v>-4</c:v>
                </c:pt>
                <c:pt idx="3">
                  <c:v>-5</c:v>
                </c:pt>
                <c:pt idx="4">
                  <c:v>-4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22">
                  <c:v>-9</c:v>
                </c:pt>
                <c:pt idx="23">
                  <c:v>-8</c:v>
                </c:pt>
                <c:pt idx="24">
                  <c:v>-7</c:v>
                </c:pt>
                <c:pt idx="25">
                  <c:v>-6</c:v>
                </c:pt>
                <c:pt idx="26">
                  <c:v>-5</c:v>
                </c:pt>
                <c:pt idx="27">
                  <c:v>-4</c:v>
                </c:pt>
                <c:pt idx="28">
                  <c:v>-3</c:v>
                </c:pt>
                <c:pt idx="29">
                  <c:v>-2</c:v>
                </c:pt>
                <c:pt idx="30">
                  <c:v>-1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</c:numCache>
            </c:numRef>
          </c:xVal>
          <c:yVal>
            <c:numRef>
              <c:f>Correlation_Shapes!$AS$8:$AS$49</c:f>
              <c:numCache>
                <c:formatCode>0.00</c:formatCode>
                <c:ptCount val="42"/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22">
                  <c:v>-4.358898943540674</c:v>
                </c:pt>
                <c:pt idx="23">
                  <c:v>-6</c:v>
                </c:pt>
                <c:pt idx="24">
                  <c:v>-7.1414284285428504</c:v>
                </c:pt>
                <c:pt idx="25">
                  <c:v>-8</c:v>
                </c:pt>
                <c:pt idx="26">
                  <c:v>-8.6602540378443873</c:v>
                </c:pt>
                <c:pt idx="27">
                  <c:v>-9.1651513899116797</c:v>
                </c:pt>
                <c:pt idx="28">
                  <c:v>-9.5393920141694561</c:v>
                </c:pt>
                <c:pt idx="29">
                  <c:v>-9.7979589711327115</c:v>
                </c:pt>
                <c:pt idx="30">
                  <c:v>-9.9498743710661994</c:v>
                </c:pt>
                <c:pt idx="31">
                  <c:v>-10</c:v>
                </c:pt>
                <c:pt idx="32">
                  <c:v>-9.9498743710661994</c:v>
                </c:pt>
                <c:pt idx="33">
                  <c:v>-9.7979589711327115</c:v>
                </c:pt>
                <c:pt idx="34">
                  <c:v>-9.5393920141694561</c:v>
                </c:pt>
                <c:pt idx="35">
                  <c:v>-9.1651513899116797</c:v>
                </c:pt>
                <c:pt idx="36">
                  <c:v>-8.6602540378443873</c:v>
                </c:pt>
                <c:pt idx="37">
                  <c:v>-8</c:v>
                </c:pt>
                <c:pt idx="38">
                  <c:v>-7.1414284285428504</c:v>
                </c:pt>
                <c:pt idx="39">
                  <c:v>-6</c:v>
                </c:pt>
                <c:pt idx="40">
                  <c:v>-4.358898943540674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20224"/>
        <c:axId val="142422016"/>
      </c:scatterChart>
      <c:valAx>
        <c:axId val="14242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422016"/>
        <c:crosses val="autoZero"/>
        <c:crossBetween val="midCat"/>
      </c:valAx>
      <c:valAx>
        <c:axId val="142422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2420224"/>
        <c:crosses val="autoZero"/>
        <c:crossBetween val="midCat"/>
      </c:valAx>
    </c:plotArea>
    <c:plotVisOnly val="1"/>
    <c:dispBlanksAs val="gap"/>
    <c:showDLblsOverMax val="0"/>
  </c:chart>
  <c:spPr>
    <a:ln w="28575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1"/>
          </c:marker>
          <c:xVal>
            <c:numRef>
              <c:f>Correlation_Shapes!$AU$8:$AU$49</c:f>
              <c:numCache>
                <c:formatCode>General</c:formatCode>
                <c:ptCount val="42"/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numCache>
            </c:numRef>
          </c:xVal>
          <c:yVal>
            <c:numRef>
              <c:f>Correlation_Shapes!$AV$8:$AV$49</c:f>
              <c:numCache>
                <c:formatCode>0.00</c:formatCode>
                <c:ptCount val="42"/>
                <c:pt idx="1">
                  <c:v>25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9</c:v>
                </c:pt>
                <c:pt idx="10">
                  <c:v>16</c:v>
                </c:pt>
                <c:pt idx="11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34304"/>
        <c:axId val="142435840"/>
      </c:scatterChart>
      <c:valAx>
        <c:axId val="14243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435840"/>
        <c:crosses val="autoZero"/>
        <c:crossBetween val="midCat"/>
      </c:valAx>
      <c:valAx>
        <c:axId val="142435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2434304"/>
        <c:crosses val="autoZero"/>
        <c:crossBetween val="midCat"/>
      </c:valAx>
    </c:plotArea>
    <c:plotVisOnly val="1"/>
    <c:dispBlanksAs val="gap"/>
    <c:showDLblsOverMax val="0"/>
  </c:chart>
  <c:spPr>
    <a:ln w="28575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1"/>
          </c:marker>
          <c:xVal>
            <c:numRef>
              <c:f>Correlation_Shapes!$AX$9:$AX$22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</c:numCache>
            </c:numRef>
          </c:xVal>
          <c:yVal>
            <c:numRef>
              <c:f>Correlation_Shapes!$AY$9:$AY$22</c:f>
              <c:numCache>
                <c:formatCode>0.00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0</c:v>
                </c:pt>
                <c:pt idx="8">
                  <c:v>-1</c:v>
                </c:pt>
                <c:pt idx="9">
                  <c:v>-2</c:v>
                </c:pt>
                <c:pt idx="10">
                  <c:v>-3</c:v>
                </c:pt>
                <c:pt idx="11">
                  <c:v>-4</c:v>
                </c:pt>
                <c:pt idx="12">
                  <c:v>-5</c:v>
                </c:pt>
                <c:pt idx="13">
                  <c:v>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67840"/>
        <c:axId val="142469376"/>
      </c:scatterChart>
      <c:valAx>
        <c:axId val="14246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469376"/>
        <c:crosses val="autoZero"/>
        <c:crossBetween val="midCat"/>
      </c:valAx>
      <c:valAx>
        <c:axId val="14246937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142467840"/>
        <c:crosses val="autoZero"/>
        <c:crossBetween val="midCat"/>
      </c:valAx>
    </c:plotArea>
    <c:plotVisOnly val="1"/>
    <c:dispBlanksAs val="gap"/>
    <c:showDLblsOverMax val="0"/>
  </c:chart>
  <c:spPr>
    <a:ln w="28575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Correlation .912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1"/>
          </c:marker>
          <c:xVal>
            <c:numRef>
              <c:f>Correlation_Shapes!$E$8:$E$49</c:f>
              <c:numCache>
                <c:formatCode>General</c:formatCode>
                <c:ptCount val="42"/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</c:numCache>
            </c:numRef>
          </c:xVal>
          <c:yVal>
            <c:numRef>
              <c:f>Correlation_Shapes!$F$8:$F$49</c:f>
              <c:numCache>
                <c:formatCode>0.00</c:formatCode>
                <c:ptCount val="42"/>
                <c:pt idx="1">
                  <c:v>-3.2962424129536814</c:v>
                </c:pt>
                <c:pt idx="2">
                  <c:v>-2.141779796633819</c:v>
                </c:pt>
                <c:pt idx="3">
                  <c:v>-1.7651281110445707</c:v>
                </c:pt>
                <c:pt idx="4">
                  <c:v>-4.7053172023457748</c:v>
                </c:pt>
                <c:pt idx="5">
                  <c:v>-2.9241812844207624</c:v>
                </c:pt>
                <c:pt idx="6">
                  <c:v>0.13872291760819433</c:v>
                </c:pt>
                <c:pt idx="7">
                  <c:v>-3.135113233848331</c:v>
                </c:pt>
                <c:pt idx="8">
                  <c:v>1.5197139440825911</c:v>
                </c:pt>
                <c:pt idx="9">
                  <c:v>-3.0155056891035263</c:v>
                </c:pt>
                <c:pt idx="10">
                  <c:v>-1.236140074958632</c:v>
                </c:pt>
                <c:pt idx="11">
                  <c:v>1.9406621576554697</c:v>
                </c:pt>
                <c:pt idx="12">
                  <c:v>0.81246737473618591</c:v>
                </c:pt>
                <c:pt idx="13">
                  <c:v>1.2164752244613632</c:v>
                </c:pt>
                <c:pt idx="14">
                  <c:v>2.55712993295408</c:v>
                </c:pt>
                <c:pt idx="15">
                  <c:v>1.2117297887253482</c:v>
                </c:pt>
                <c:pt idx="16">
                  <c:v>3.4036226609878746</c:v>
                </c:pt>
                <c:pt idx="17">
                  <c:v>1.1034262839457227</c:v>
                </c:pt>
                <c:pt idx="18">
                  <c:v>2.5868789979344182</c:v>
                </c:pt>
                <c:pt idx="19">
                  <c:v>6.6685857458230426</c:v>
                </c:pt>
                <c:pt idx="20">
                  <c:v>3.6883283282290353</c:v>
                </c:pt>
                <c:pt idx="22">
                  <c:v>2.3512896207693545</c:v>
                </c:pt>
                <c:pt idx="23">
                  <c:v>3.1844323392352472</c:v>
                </c:pt>
                <c:pt idx="24">
                  <c:v>4.1766710939595333</c:v>
                </c:pt>
                <c:pt idx="25">
                  <c:v>0.77818112006064233</c:v>
                </c:pt>
                <c:pt idx="26">
                  <c:v>1.1906216028142254</c:v>
                </c:pt>
                <c:pt idx="27">
                  <c:v>2.443625850356125</c:v>
                </c:pt>
                <c:pt idx="28">
                  <c:v>2.0023295864387052</c:v>
                </c:pt>
                <c:pt idx="29">
                  <c:v>5.2689265645790471</c:v>
                </c:pt>
                <c:pt idx="30">
                  <c:v>7.0988387050493635</c:v>
                </c:pt>
                <c:pt idx="31">
                  <c:v>3.3222054952961582</c:v>
                </c:pt>
                <c:pt idx="32">
                  <c:v>4.0197968073224501</c:v>
                </c:pt>
                <c:pt idx="33">
                  <c:v>7.7896446918690447</c:v>
                </c:pt>
                <c:pt idx="34">
                  <c:v>6.2732775905314</c:v>
                </c:pt>
                <c:pt idx="35">
                  <c:v>7.5819850739915147</c:v>
                </c:pt>
                <c:pt idx="36">
                  <c:v>8.7323118481345112</c:v>
                </c:pt>
                <c:pt idx="37">
                  <c:v>9.4755056442255388</c:v>
                </c:pt>
                <c:pt idx="38">
                  <c:v>6.2512826837458899</c:v>
                </c:pt>
                <c:pt idx="39">
                  <c:v>6.4856017715911545</c:v>
                </c:pt>
                <c:pt idx="40">
                  <c:v>11.457750292265716</c:v>
                </c:pt>
                <c:pt idx="41">
                  <c:v>11.119413067559652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727424"/>
        <c:axId val="143056896"/>
      </c:scatterChart>
      <c:valAx>
        <c:axId val="14272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056896"/>
        <c:crosses val="autoZero"/>
        <c:crossBetween val="midCat"/>
      </c:valAx>
      <c:valAx>
        <c:axId val="14305689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142727424"/>
        <c:crosses val="autoZero"/>
        <c:crossBetween val="midCat"/>
      </c:valAx>
    </c:plotArea>
    <c:plotVisOnly val="1"/>
    <c:dispBlanksAs val="gap"/>
    <c:showDLblsOverMax val="0"/>
  </c:chart>
  <c:spPr>
    <a:ln w="28575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Correlation 1.0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1"/>
          </c:marker>
          <c:xVal>
            <c:numRef>
              <c:f>Correlation_Shapes!$B$8:$B$49</c:f>
              <c:numCache>
                <c:formatCode>General</c:formatCode>
                <c:ptCount val="42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-10</c:v>
                </c:pt>
                <c:pt idx="22">
                  <c:v>-9</c:v>
                </c:pt>
                <c:pt idx="23">
                  <c:v>-8</c:v>
                </c:pt>
                <c:pt idx="24">
                  <c:v>-7</c:v>
                </c:pt>
                <c:pt idx="25">
                  <c:v>-6</c:v>
                </c:pt>
                <c:pt idx="26">
                  <c:v>-5</c:v>
                </c:pt>
                <c:pt idx="27">
                  <c:v>-4</c:v>
                </c:pt>
                <c:pt idx="28">
                  <c:v>-3</c:v>
                </c:pt>
                <c:pt idx="29">
                  <c:v>-2</c:v>
                </c:pt>
                <c:pt idx="30">
                  <c:v>-1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</c:numCache>
            </c:numRef>
          </c:xVal>
          <c:yVal>
            <c:numRef>
              <c:f>Correlation_Shapes!$C$8:$C$49</c:f>
              <c:numCache>
                <c:formatCode>General</c:formatCode>
                <c:ptCount val="42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-10</c:v>
                </c:pt>
                <c:pt idx="22">
                  <c:v>-9</c:v>
                </c:pt>
                <c:pt idx="23">
                  <c:v>-8</c:v>
                </c:pt>
                <c:pt idx="24">
                  <c:v>-7</c:v>
                </c:pt>
                <c:pt idx="25">
                  <c:v>-6</c:v>
                </c:pt>
                <c:pt idx="26">
                  <c:v>-5</c:v>
                </c:pt>
                <c:pt idx="27">
                  <c:v>-4</c:v>
                </c:pt>
                <c:pt idx="28">
                  <c:v>-3</c:v>
                </c:pt>
                <c:pt idx="29">
                  <c:v>-2</c:v>
                </c:pt>
                <c:pt idx="30">
                  <c:v>-1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265024"/>
        <c:axId val="145266560"/>
      </c:scatterChart>
      <c:valAx>
        <c:axId val="14526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266560"/>
        <c:crosses val="autoZero"/>
        <c:crossBetween val="midCat"/>
      </c:valAx>
      <c:valAx>
        <c:axId val="145266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5265024"/>
        <c:crosses val="autoZero"/>
        <c:crossBetween val="midCat"/>
      </c:valAx>
    </c:plotArea>
    <c:plotVisOnly val="1"/>
    <c:dispBlanksAs val="gap"/>
    <c:showDLblsOverMax val="0"/>
  </c:chart>
  <c:spPr>
    <a:ln w="28575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Correlation .530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1"/>
          </c:marker>
          <c:xVal>
            <c:numRef>
              <c:f>Correlation_Shapes!$I$8:$I$49</c:f>
              <c:numCache>
                <c:formatCode>General</c:formatCode>
                <c:ptCount val="42"/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</c:numCache>
            </c:numRef>
          </c:xVal>
          <c:yVal>
            <c:numRef>
              <c:f>Correlation_Shapes!$J$8:$J$49</c:f>
              <c:numCache>
                <c:formatCode>0.00</c:formatCode>
                <c:ptCount val="42"/>
                <c:pt idx="1">
                  <c:v>-0.75213671735134735</c:v>
                </c:pt>
                <c:pt idx="2">
                  <c:v>-1.4247873914102915</c:v>
                </c:pt>
                <c:pt idx="3">
                  <c:v>0.10141541051930503</c:v>
                </c:pt>
                <c:pt idx="4">
                  <c:v>2.3858770613784683</c:v>
                </c:pt>
                <c:pt idx="5">
                  <c:v>-2.7956912023656004</c:v>
                </c:pt>
                <c:pt idx="6">
                  <c:v>-3.4196644864735655</c:v>
                </c:pt>
                <c:pt idx="7">
                  <c:v>0.44747087353735715</c:v>
                </c:pt>
                <c:pt idx="8">
                  <c:v>-0.79497328930965017</c:v>
                </c:pt>
                <c:pt idx="9">
                  <c:v>1.536302618297765</c:v>
                </c:pt>
                <c:pt idx="10">
                  <c:v>-3.1423467655571118</c:v>
                </c:pt>
                <c:pt idx="11">
                  <c:v>3.1436717817741604</c:v>
                </c:pt>
                <c:pt idx="12">
                  <c:v>3.9673884717735923</c:v>
                </c:pt>
                <c:pt idx="13">
                  <c:v>2.9011436573896017</c:v>
                </c:pt>
                <c:pt idx="14">
                  <c:v>4.6861407292372395</c:v>
                </c:pt>
                <c:pt idx="15">
                  <c:v>1.8847009885052364</c:v>
                </c:pt>
                <c:pt idx="16">
                  <c:v>2.3170883449985205</c:v>
                </c:pt>
                <c:pt idx="17">
                  <c:v>1.8712821143944325</c:v>
                </c:pt>
                <c:pt idx="18">
                  <c:v>-0.33009362273459386</c:v>
                </c:pt>
                <c:pt idx="19">
                  <c:v>0.39947334392411804</c:v>
                </c:pt>
                <c:pt idx="20">
                  <c:v>0.12944307901965857</c:v>
                </c:pt>
                <c:pt idx="22">
                  <c:v>-3.4071279079931243</c:v>
                </c:pt>
                <c:pt idx="23">
                  <c:v>-1.9522603319246108</c:v>
                </c:pt>
                <c:pt idx="24">
                  <c:v>2.6502247110978239</c:v>
                </c:pt>
                <c:pt idx="25">
                  <c:v>4.4923560023656552</c:v>
                </c:pt>
                <c:pt idx="26">
                  <c:v>1.8646468059031047</c:v>
                </c:pt>
                <c:pt idx="27">
                  <c:v>0.77094241003930541</c:v>
                </c:pt>
                <c:pt idx="28">
                  <c:v>1.3901536590510224</c:v>
                </c:pt>
                <c:pt idx="29">
                  <c:v>5.4000002751301039</c:v>
                </c:pt>
                <c:pt idx="30">
                  <c:v>0.27424694491949353</c:v>
                </c:pt>
                <c:pt idx="31">
                  <c:v>3.1001874407621806</c:v>
                </c:pt>
                <c:pt idx="32">
                  <c:v>1.4922393737744555</c:v>
                </c:pt>
                <c:pt idx="33">
                  <c:v>5.4843007023038925</c:v>
                </c:pt>
                <c:pt idx="34">
                  <c:v>0.5440966499295623</c:v>
                </c:pt>
                <c:pt idx="35">
                  <c:v>3.7447590357386673</c:v>
                </c:pt>
                <c:pt idx="36">
                  <c:v>6.7257322016030265</c:v>
                </c:pt>
                <c:pt idx="37">
                  <c:v>4.1561654162248942</c:v>
                </c:pt>
                <c:pt idx="38">
                  <c:v>4.3733273837576672</c:v>
                </c:pt>
                <c:pt idx="39">
                  <c:v>3.1780290716213138</c:v>
                </c:pt>
                <c:pt idx="40">
                  <c:v>0.60648156430981359</c:v>
                </c:pt>
                <c:pt idx="41">
                  <c:v>3.273935692442385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316096"/>
        <c:axId val="145334272"/>
      </c:scatterChart>
      <c:valAx>
        <c:axId val="1453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334272"/>
        <c:crosses val="autoZero"/>
        <c:crossBetween val="midCat"/>
      </c:valAx>
      <c:valAx>
        <c:axId val="14533427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145316096"/>
        <c:crosses val="autoZero"/>
        <c:crossBetween val="midCat"/>
      </c:valAx>
    </c:plotArea>
    <c:plotVisOnly val="1"/>
    <c:dispBlanksAs val="gap"/>
    <c:showDLblsOverMax val="0"/>
  </c:chart>
  <c:spPr>
    <a:ln w="28575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Correlation .00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1"/>
          </c:marker>
          <c:xVal>
            <c:numRef>
              <c:f>Correlation_Shapes!$M$8:$M$49</c:f>
              <c:numCache>
                <c:formatCode>General</c:formatCode>
                <c:ptCount val="42"/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</c:numCache>
            </c:numRef>
          </c:xVal>
          <c:yVal>
            <c:numRef>
              <c:f>Correlation_Shapes!$N$8:$N$49</c:f>
              <c:numCache>
                <c:formatCode>0.00</c:formatCode>
                <c:ptCount val="42"/>
                <c:pt idx="1">
                  <c:v>1.0478632826486525</c:v>
                </c:pt>
                <c:pt idx="2">
                  <c:v>0.17521260858970855</c:v>
                </c:pt>
                <c:pt idx="3">
                  <c:v>1.5014154105193054</c:v>
                </c:pt>
                <c:pt idx="4">
                  <c:v>3.5858770613784685</c:v>
                </c:pt>
                <c:pt idx="5">
                  <c:v>-1.7956912023656004</c:v>
                </c:pt>
                <c:pt idx="6">
                  <c:v>-2.6196644864735656</c:v>
                </c:pt>
                <c:pt idx="7">
                  <c:v>1.0474708735373577</c:v>
                </c:pt>
                <c:pt idx="8">
                  <c:v>-0.39497328930965026</c:v>
                </c:pt>
                <c:pt idx="9">
                  <c:v>1.7363026182977652</c:v>
                </c:pt>
                <c:pt idx="10">
                  <c:v>-3.1423467655571118</c:v>
                </c:pt>
                <c:pt idx="11">
                  <c:v>2.9436717817741602</c:v>
                </c:pt>
                <c:pt idx="12">
                  <c:v>3.567388471773592</c:v>
                </c:pt>
                <c:pt idx="13">
                  <c:v>2.301143657389602</c:v>
                </c:pt>
                <c:pt idx="14">
                  <c:v>3.8861407292372387</c:v>
                </c:pt>
                <c:pt idx="15">
                  <c:v>0.88470098850523637</c:v>
                </c:pt>
                <c:pt idx="16">
                  <c:v>1.1170883449985203</c:v>
                </c:pt>
                <c:pt idx="17">
                  <c:v>0.47128211439443213</c:v>
                </c:pt>
                <c:pt idx="18">
                  <c:v>-1.9300936227345939</c:v>
                </c:pt>
                <c:pt idx="19">
                  <c:v>-1.4005266560758818</c:v>
                </c:pt>
                <c:pt idx="20">
                  <c:v>-1.8705569209803414</c:v>
                </c:pt>
                <c:pt idx="22">
                  <c:v>-3.6071279079931244</c:v>
                </c:pt>
                <c:pt idx="23">
                  <c:v>-2.3522603319246107</c:v>
                </c:pt>
                <c:pt idx="24">
                  <c:v>2.0502247110978233</c:v>
                </c:pt>
                <c:pt idx="25">
                  <c:v>3.6923560023656554</c:v>
                </c:pt>
                <c:pt idx="26">
                  <c:v>0.86464680590310472</c:v>
                </c:pt>
                <c:pt idx="27">
                  <c:v>-0.42905758996069476</c:v>
                </c:pt>
                <c:pt idx="28">
                  <c:v>-9.8463409489779607E-3</c:v>
                </c:pt>
                <c:pt idx="29">
                  <c:v>3.8000002751301034</c:v>
                </c:pt>
                <c:pt idx="30">
                  <c:v>-1.5257530550805063</c:v>
                </c:pt>
                <c:pt idx="31">
                  <c:v>1.1001874407621806</c:v>
                </c:pt>
                <c:pt idx="32">
                  <c:v>-0.7077606262255447</c:v>
                </c:pt>
                <c:pt idx="33">
                  <c:v>3.0843007023038922</c:v>
                </c:pt>
                <c:pt idx="34">
                  <c:v>-2.0559033500704382</c:v>
                </c:pt>
                <c:pt idx="35">
                  <c:v>0.94475903573866749</c:v>
                </c:pt>
                <c:pt idx="36">
                  <c:v>3.7257322016030274</c:v>
                </c:pt>
                <c:pt idx="37">
                  <c:v>0.95616541622489315</c:v>
                </c:pt>
                <c:pt idx="38">
                  <c:v>0.97332738375766681</c:v>
                </c:pt>
                <c:pt idx="39">
                  <c:v>-0.42197092837868677</c:v>
                </c:pt>
                <c:pt idx="40">
                  <c:v>1.6053640350898561</c:v>
                </c:pt>
                <c:pt idx="41">
                  <c:v>-0.72606430755761497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383808"/>
        <c:axId val="145385344"/>
      </c:scatterChart>
      <c:valAx>
        <c:axId val="14538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385344"/>
        <c:crosses val="autoZero"/>
        <c:crossBetween val="midCat"/>
      </c:valAx>
      <c:valAx>
        <c:axId val="14538534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145383808"/>
        <c:crosses val="autoZero"/>
        <c:crossBetween val="midCat"/>
      </c:valAx>
    </c:plotArea>
    <c:plotVisOnly val="1"/>
    <c:dispBlanksAs val="gap"/>
    <c:showDLblsOverMax val="0"/>
  </c:chart>
  <c:spPr>
    <a:ln w="28575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Correlation -.986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1"/>
          </c:marker>
          <c:xVal>
            <c:numRef>
              <c:f>Correlation_Shapes!$U$8:$U$49</c:f>
              <c:numCache>
                <c:formatCode>General</c:formatCode>
                <c:ptCount val="42"/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</c:numCache>
            </c:numRef>
          </c:xVal>
          <c:yVal>
            <c:numRef>
              <c:f>Correlation_Shapes!$V$8:$V$49</c:f>
              <c:numCache>
                <c:formatCode>0.00</c:formatCode>
                <c:ptCount val="42"/>
                <c:pt idx="1">
                  <c:v>12.154914551655407</c:v>
                </c:pt>
                <c:pt idx="2">
                  <c:v>10.609507880368568</c:v>
                </c:pt>
                <c:pt idx="3">
                  <c:v>10.438384631574566</c:v>
                </c:pt>
                <c:pt idx="4">
                  <c:v>10.741173163361543</c:v>
                </c:pt>
                <c:pt idx="5">
                  <c:v>6.3776929985214998</c:v>
                </c:pt>
                <c:pt idx="6">
                  <c:v>4.8627096959540212</c:v>
                </c:pt>
                <c:pt idx="7">
                  <c:v>6.1546692959608489</c:v>
                </c:pt>
                <c:pt idx="8">
                  <c:v>4.253141694181469</c:v>
                </c:pt>
                <c:pt idx="9">
                  <c:v>4.585189136436103</c:v>
                </c:pt>
                <c:pt idx="10">
                  <c:v>0.53603327152680513</c:v>
                </c:pt>
                <c:pt idx="11">
                  <c:v>3.3397948636088497</c:v>
                </c:pt>
                <c:pt idx="12">
                  <c:v>2.7296177948584948</c:v>
                </c:pt>
                <c:pt idx="13">
                  <c:v>0.93821478586850127</c:v>
                </c:pt>
                <c:pt idx="14">
                  <c:v>0.92883795577327444</c:v>
                </c:pt>
                <c:pt idx="15">
                  <c:v>-1.9470618821842272</c:v>
                </c:pt>
                <c:pt idx="16">
                  <c:v>-2.8018197843759247</c:v>
                </c:pt>
                <c:pt idx="17">
                  <c:v>-4.2054486785034797</c:v>
                </c:pt>
                <c:pt idx="18">
                  <c:v>-6.7063085142091214</c:v>
                </c:pt>
                <c:pt idx="19">
                  <c:v>-7.3753291600474267</c:v>
                </c:pt>
                <c:pt idx="20">
                  <c:v>-8.6690980756127125</c:v>
                </c:pt>
                <c:pt idx="22">
                  <c:v>-0.75445494249570277</c:v>
                </c:pt>
                <c:pt idx="23">
                  <c:v>-0.9701627074528818</c:v>
                </c:pt>
                <c:pt idx="24">
                  <c:v>0.78139044443613948</c:v>
                </c:pt>
                <c:pt idx="25">
                  <c:v>0.8077225014785343</c:v>
                </c:pt>
                <c:pt idx="26">
                  <c:v>-1.9595957463105593</c:v>
                </c:pt>
                <c:pt idx="27">
                  <c:v>-3.7681609937254343</c:v>
                </c:pt>
                <c:pt idx="28">
                  <c:v>-4.5061539630931113</c:v>
                </c:pt>
                <c:pt idx="29">
                  <c:v>-3.124999828043685</c:v>
                </c:pt>
                <c:pt idx="30">
                  <c:v>-7.4535956594253161</c:v>
                </c:pt>
                <c:pt idx="31">
                  <c:v>-6.8123828495236367</c:v>
                </c:pt>
                <c:pt idx="32">
                  <c:v>-8.9423503913909652</c:v>
                </c:pt>
                <c:pt idx="33">
                  <c:v>-7.5723120610600674</c:v>
                </c:pt>
                <c:pt idx="34">
                  <c:v>-11.784939593794023</c:v>
                </c:pt>
                <c:pt idx="35">
                  <c:v>-10.909525602663333</c:v>
                </c:pt>
                <c:pt idx="36">
                  <c:v>-10.171417373998107</c:v>
                </c:pt>
                <c:pt idx="37">
                  <c:v>-12.902396614859441</c:v>
                </c:pt>
                <c:pt idx="38">
                  <c:v>-13.891670385151459</c:v>
                </c:pt>
                <c:pt idx="39">
                  <c:v>-15.763731830236679</c:v>
                </c:pt>
                <c:pt idx="40">
                  <c:v>-15.496647478068841</c:v>
                </c:pt>
                <c:pt idx="41">
                  <c:v>-17.953790192223508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434880"/>
        <c:axId val="145436672"/>
      </c:scatterChart>
      <c:valAx>
        <c:axId val="14543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436672"/>
        <c:crosses val="autoZero"/>
        <c:crossBetween val="midCat"/>
      </c:valAx>
      <c:valAx>
        <c:axId val="14543667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145434880"/>
        <c:crosses val="autoZero"/>
        <c:crossBetween val="midCat"/>
      </c:valAx>
    </c:plotArea>
    <c:plotVisOnly val="1"/>
    <c:dispBlanksAs val="gap"/>
    <c:showDLblsOverMax val="0"/>
  </c:chart>
  <c:spPr>
    <a:ln w="28575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Correlation -.752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1"/>
          </c:marker>
          <c:xVal>
            <c:numRef>
              <c:f>Correlation_Shapes!$Q$8:$Q$49</c:f>
              <c:numCache>
                <c:formatCode>General</c:formatCode>
                <c:ptCount val="42"/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</c:numCache>
            </c:numRef>
          </c:xVal>
          <c:yVal>
            <c:numRef>
              <c:f>Correlation_Shapes!$R$8:$R$49</c:f>
              <c:numCache>
                <c:formatCode>0.00</c:formatCode>
                <c:ptCount val="42"/>
                <c:pt idx="1">
                  <c:v>7.08198615385108</c:v>
                </c:pt>
                <c:pt idx="2">
                  <c:v>2.1417813799589087</c:v>
                </c:pt>
                <c:pt idx="3">
                  <c:v>6.4840477800096892</c:v>
                </c:pt>
                <c:pt idx="4">
                  <c:v>5.8605402109103313</c:v>
                </c:pt>
                <c:pt idx="5">
                  <c:v>0.27478014985841526</c:v>
                </c:pt>
                <c:pt idx="6">
                  <c:v>2.8818741652598518</c:v>
                </c:pt>
                <c:pt idx="7">
                  <c:v>-0.5244192902346132</c:v>
                </c:pt>
                <c:pt idx="8">
                  <c:v>-2.2080601993347355</c:v>
                </c:pt>
                <c:pt idx="9">
                  <c:v>-5.4989709927300296</c:v>
                </c:pt>
                <c:pt idx="10">
                  <c:v>-4.6312966461788303</c:v>
                </c:pt>
                <c:pt idx="11">
                  <c:v>-1.3350291938588237</c:v>
                </c:pt>
                <c:pt idx="12">
                  <c:v>-5.8809463574618022</c:v>
                </c:pt>
                <c:pt idx="13">
                  <c:v>-5.9424171453795154</c:v>
                </c:pt>
                <c:pt idx="14">
                  <c:v>-3.1001455664822366</c:v>
                </c:pt>
                <c:pt idx="15">
                  <c:v>-5.0020335956260169</c:v>
                </c:pt>
                <c:pt idx="16">
                  <c:v>2.5971710286782521</c:v>
                </c:pt>
                <c:pt idx="17">
                  <c:v>-9.0894275492662135</c:v>
                </c:pt>
                <c:pt idx="18">
                  <c:v>-3.817966830805382</c:v>
                </c:pt>
                <c:pt idx="19">
                  <c:v>-1.4751101479426278</c:v>
                </c:pt>
                <c:pt idx="20">
                  <c:v>-7.0976892641696097</c:v>
                </c:pt>
                <c:pt idx="22">
                  <c:v>5.0549306931635805</c:v>
                </c:pt>
                <c:pt idx="23">
                  <c:v>2.6829887338640646</c:v>
                </c:pt>
                <c:pt idx="24">
                  <c:v>4.0066748313313028</c:v>
                </c:pt>
                <c:pt idx="25">
                  <c:v>-4.2978218273338662</c:v>
                </c:pt>
                <c:pt idx="26">
                  <c:v>-1.7490818947112858</c:v>
                </c:pt>
                <c:pt idx="27">
                  <c:v>2.4308274896896549</c:v>
                </c:pt>
                <c:pt idx="28">
                  <c:v>-9.4718513454461082</c:v>
                </c:pt>
                <c:pt idx="29">
                  <c:v>-9.7300896292631265</c:v>
                </c:pt>
                <c:pt idx="30">
                  <c:v>-3.2322551801819603</c:v>
                </c:pt>
                <c:pt idx="31">
                  <c:v>-10.299461262714523</c:v>
                </c:pt>
                <c:pt idx="32">
                  <c:v>-2.8382847430056408</c:v>
                </c:pt>
                <c:pt idx="33">
                  <c:v>-9.0934825587838581</c:v>
                </c:pt>
                <c:pt idx="34">
                  <c:v>-12.442388007329583</c:v>
                </c:pt>
                <c:pt idx="35">
                  <c:v>-4.2658484312390978</c:v>
                </c:pt>
                <c:pt idx="36">
                  <c:v>-6.2324829510070021</c:v>
                </c:pt>
                <c:pt idx="37">
                  <c:v>-6.0007343787314031</c:v>
                </c:pt>
                <c:pt idx="38">
                  <c:v>-13.629866800911586</c:v>
                </c:pt>
                <c:pt idx="39">
                  <c:v>-11.745693683098953</c:v>
                </c:pt>
                <c:pt idx="40">
                  <c:v>-6.3604382425864419</c:v>
                </c:pt>
                <c:pt idx="41">
                  <c:v>-12.997435137490694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478016"/>
        <c:axId val="145479552"/>
      </c:scatterChart>
      <c:valAx>
        <c:axId val="14547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479552"/>
        <c:crosses val="autoZero"/>
        <c:crossBetween val="midCat"/>
      </c:valAx>
      <c:valAx>
        <c:axId val="14547955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145478016"/>
        <c:crosses val="autoZero"/>
        <c:crossBetween val="midCat"/>
      </c:valAx>
    </c:plotArea>
    <c:plotVisOnly val="1"/>
    <c:dispBlanksAs val="gap"/>
    <c:showDLblsOverMax val="0"/>
  </c:chart>
  <c:spPr>
    <a:ln w="28575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1"/>
          </c:marker>
          <c:xVal>
            <c:numRef>
              <c:f>Correlation_Shapes!$BQ$8:$BQ$98</c:f>
              <c:numCache>
                <c:formatCode>General</c:formatCode>
                <c:ptCount val="91"/>
                <c:pt idx="0">
                  <c:v>46</c:v>
                </c:pt>
                <c:pt idx="1">
                  <c:v>23</c:v>
                </c:pt>
                <c:pt idx="2">
                  <c:v>-5</c:v>
                </c:pt>
                <c:pt idx="3">
                  <c:v>18</c:v>
                </c:pt>
                <c:pt idx="4">
                  <c:v>20</c:v>
                </c:pt>
                <c:pt idx="5">
                  <c:v>15</c:v>
                </c:pt>
                <c:pt idx="6">
                  <c:v>-20</c:v>
                </c:pt>
                <c:pt idx="7">
                  <c:v>-40</c:v>
                </c:pt>
                <c:pt idx="8">
                  <c:v>13</c:v>
                </c:pt>
                <c:pt idx="9">
                  <c:v>-29</c:v>
                </c:pt>
                <c:pt idx="10">
                  <c:v>-48</c:v>
                </c:pt>
                <c:pt idx="11">
                  <c:v>45</c:v>
                </c:pt>
                <c:pt idx="12">
                  <c:v>21</c:v>
                </c:pt>
                <c:pt idx="13">
                  <c:v>26</c:v>
                </c:pt>
                <c:pt idx="14">
                  <c:v>12</c:v>
                </c:pt>
                <c:pt idx="15">
                  <c:v>5</c:v>
                </c:pt>
                <c:pt idx="16">
                  <c:v>-33</c:v>
                </c:pt>
                <c:pt idx="17">
                  <c:v>22</c:v>
                </c:pt>
                <c:pt idx="18">
                  <c:v>13</c:v>
                </c:pt>
                <c:pt idx="19">
                  <c:v>-21</c:v>
                </c:pt>
                <c:pt idx="20">
                  <c:v>21</c:v>
                </c:pt>
                <c:pt idx="21">
                  <c:v>-45</c:v>
                </c:pt>
                <c:pt idx="22">
                  <c:v>16</c:v>
                </c:pt>
                <c:pt idx="23">
                  <c:v>-43</c:v>
                </c:pt>
                <c:pt idx="24">
                  <c:v>19</c:v>
                </c:pt>
                <c:pt idx="25">
                  <c:v>34</c:v>
                </c:pt>
                <c:pt idx="26">
                  <c:v>32</c:v>
                </c:pt>
                <c:pt idx="27">
                  <c:v>23</c:v>
                </c:pt>
                <c:pt idx="28">
                  <c:v>8</c:v>
                </c:pt>
                <c:pt idx="29">
                  <c:v>21</c:v>
                </c:pt>
                <c:pt idx="30">
                  <c:v>-21</c:v>
                </c:pt>
                <c:pt idx="31">
                  <c:v>-11</c:v>
                </c:pt>
                <c:pt idx="32">
                  <c:v>32</c:v>
                </c:pt>
                <c:pt idx="33">
                  <c:v>-5</c:v>
                </c:pt>
                <c:pt idx="34">
                  <c:v>17</c:v>
                </c:pt>
                <c:pt idx="35">
                  <c:v>-4</c:v>
                </c:pt>
                <c:pt idx="36">
                  <c:v>-47</c:v>
                </c:pt>
                <c:pt idx="37">
                  <c:v>-23</c:v>
                </c:pt>
                <c:pt idx="38">
                  <c:v>34</c:v>
                </c:pt>
                <c:pt idx="39">
                  <c:v>9</c:v>
                </c:pt>
                <c:pt idx="40">
                  <c:v>-41</c:v>
                </c:pt>
                <c:pt idx="41">
                  <c:v>-23</c:v>
                </c:pt>
                <c:pt idx="42">
                  <c:v>24</c:v>
                </c:pt>
                <c:pt idx="43">
                  <c:v>-47</c:v>
                </c:pt>
                <c:pt idx="44">
                  <c:v>-21</c:v>
                </c:pt>
                <c:pt idx="45">
                  <c:v>46</c:v>
                </c:pt>
                <c:pt idx="46">
                  <c:v>-28</c:v>
                </c:pt>
                <c:pt idx="47">
                  <c:v>3</c:v>
                </c:pt>
                <c:pt idx="48">
                  <c:v>6</c:v>
                </c:pt>
                <c:pt idx="49">
                  <c:v>-45</c:v>
                </c:pt>
                <c:pt idx="50">
                  <c:v>14</c:v>
                </c:pt>
                <c:pt idx="51">
                  <c:v>-20</c:v>
                </c:pt>
                <c:pt idx="52">
                  <c:v>1</c:v>
                </c:pt>
                <c:pt idx="53">
                  <c:v>35</c:v>
                </c:pt>
                <c:pt idx="54">
                  <c:v>18</c:v>
                </c:pt>
                <c:pt idx="55">
                  <c:v>-17</c:v>
                </c:pt>
                <c:pt idx="56">
                  <c:v>8</c:v>
                </c:pt>
                <c:pt idx="57">
                  <c:v>39</c:v>
                </c:pt>
                <c:pt idx="58">
                  <c:v>-36</c:v>
                </c:pt>
                <c:pt idx="59">
                  <c:v>28</c:v>
                </c:pt>
                <c:pt idx="60">
                  <c:v>46</c:v>
                </c:pt>
                <c:pt idx="61">
                  <c:v>9</c:v>
                </c:pt>
                <c:pt idx="62">
                  <c:v>41</c:v>
                </c:pt>
                <c:pt idx="63">
                  <c:v>37</c:v>
                </c:pt>
                <c:pt idx="64">
                  <c:v>-18</c:v>
                </c:pt>
                <c:pt idx="65">
                  <c:v>4</c:v>
                </c:pt>
                <c:pt idx="66">
                  <c:v>30</c:v>
                </c:pt>
                <c:pt idx="67">
                  <c:v>2</c:v>
                </c:pt>
                <c:pt idx="68">
                  <c:v>49</c:v>
                </c:pt>
                <c:pt idx="69">
                  <c:v>41</c:v>
                </c:pt>
                <c:pt idx="70">
                  <c:v>32</c:v>
                </c:pt>
                <c:pt idx="71">
                  <c:v>3</c:v>
                </c:pt>
                <c:pt idx="72">
                  <c:v>-3</c:v>
                </c:pt>
                <c:pt idx="73">
                  <c:v>-6</c:v>
                </c:pt>
                <c:pt idx="74">
                  <c:v>-23</c:v>
                </c:pt>
                <c:pt idx="75">
                  <c:v>-40</c:v>
                </c:pt>
                <c:pt idx="76">
                  <c:v>-17</c:v>
                </c:pt>
                <c:pt idx="77">
                  <c:v>6</c:v>
                </c:pt>
                <c:pt idx="78">
                  <c:v>20</c:v>
                </c:pt>
                <c:pt idx="79">
                  <c:v>-5</c:v>
                </c:pt>
                <c:pt idx="80">
                  <c:v>-18</c:v>
                </c:pt>
                <c:pt idx="81">
                  <c:v>20</c:v>
                </c:pt>
                <c:pt idx="82">
                  <c:v>30</c:v>
                </c:pt>
                <c:pt idx="83">
                  <c:v>-46</c:v>
                </c:pt>
                <c:pt idx="84">
                  <c:v>-39</c:v>
                </c:pt>
                <c:pt idx="85">
                  <c:v>23</c:v>
                </c:pt>
                <c:pt idx="86">
                  <c:v>-47</c:v>
                </c:pt>
                <c:pt idx="87">
                  <c:v>5</c:v>
                </c:pt>
                <c:pt idx="88">
                  <c:v>44</c:v>
                </c:pt>
                <c:pt idx="89">
                  <c:v>32</c:v>
                </c:pt>
                <c:pt idx="90">
                  <c:v>7</c:v>
                </c:pt>
              </c:numCache>
            </c:numRef>
          </c:xVal>
          <c:yVal>
            <c:numRef>
              <c:f>Correlation_Shapes!$BR$8:$BR$98</c:f>
              <c:numCache>
                <c:formatCode>General</c:formatCode>
                <c:ptCount val="91"/>
                <c:pt idx="0">
                  <c:v>-18</c:v>
                </c:pt>
                <c:pt idx="1">
                  <c:v>-18</c:v>
                </c:pt>
                <c:pt idx="2">
                  <c:v>-12</c:v>
                </c:pt>
                <c:pt idx="3">
                  <c:v>-13</c:v>
                </c:pt>
                <c:pt idx="4">
                  <c:v>-11</c:v>
                </c:pt>
                <c:pt idx="5">
                  <c:v>-22</c:v>
                </c:pt>
                <c:pt idx="6">
                  <c:v>18</c:v>
                </c:pt>
                <c:pt idx="7">
                  <c:v>-40</c:v>
                </c:pt>
                <c:pt idx="8">
                  <c:v>6</c:v>
                </c:pt>
                <c:pt idx="9">
                  <c:v>-9</c:v>
                </c:pt>
                <c:pt idx="10">
                  <c:v>48</c:v>
                </c:pt>
                <c:pt idx="11">
                  <c:v>-29</c:v>
                </c:pt>
                <c:pt idx="12">
                  <c:v>-7</c:v>
                </c:pt>
                <c:pt idx="13">
                  <c:v>48</c:v>
                </c:pt>
                <c:pt idx="14">
                  <c:v>-9</c:v>
                </c:pt>
                <c:pt idx="15">
                  <c:v>23</c:v>
                </c:pt>
                <c:pt idx="16">
                  <c:v>-46</c:v>
                </c:pt>
                <c:pt idx="17">
                  <c:v>-25</c:v>
                </c:pt>
                <c:pt idx="18">
                  <c:v>16</c:v>
                </c:pt>
                <c:pt idx="19">
                  <c:v>15</c:v>
                </c:pt>
                <c:pt idx="20">
                  <c:v>31</c:v>
                </c:pt>
                <c:pt idx="21">
                  <c:v>-7</c:v>
                </c:pt>
                <c:pt idx="22">
                  <c:v>-28</c:v>
                </c:pt>
                <c:pt idx="23">
                  <c:v>36</c:v>
                </c:pt>
                <c:pt idx="24">
                  <c:v>-13</c:v>
                </c:pt>
                <c:pt idx="25">
                  <c:v>-33</c:v>
                </c:pt>
                <c:pt idx="26">
                  <c:v>13</c:v>
                </c:pt>
                <c:pt idx="27">
                  <c:v>23</c:v>
                </c:pt>
                <c:pt idx="28">
                  <c:v>-15</c:v>
                </c:pt>
                <c:pt idx="29">
                  <c:v>14</c:v>
                </c:pt>
                <c:pt idx="30">
                  <c:v>-42</c:v>
                </c:pt>
                <c:pt idx="31">
                  <c:v>32</c:v>
                </c:pt>
                <c:pt idx="32">
                  <c:v>-12</c:v>
                </c:pt>
                <c:pt idx="33">
                  <c:v>-49</c:v>
                </c:pt>
                <c:pt idx="34">
                  <c:v>27</c:v>
                </c:pt>
                <c:pt idx="35">
                  <c:v>5</c:v>
                </c:pt>
                <c:pt idx="36">
                  <c:v>-1</c:v>
                </c:pt>
                <c:pt idx="37">
                  <c:v>31</c:v>
                </c:pt>
                <c:pt idx="38">
                  <c:v>-44</c:v>
                </c:pt>
                <c:pt idx="39">
                  <c:v>-16</c:v>
                </c:pt>
                <c:pt idx="40">
                  <c:v>-13</c:v>
                </c:pt>
                <c:pt idx="41">
                  <c:v>4</c:v>
                </c:pt>
                <c:pt idx="42" formatCode="0.00">
                  <c:v>-41</c:v>
                </c:pt>
                <c:pt idx="43" formatCode="0.00">
                  <c:v>45</c:v>
                </c:pt>
                <c:pt idx="44" formatCode="0.00">
                  <c:v>-43</c:v>
                </c:pt>
                <c:pt idx="45" formatCode="0.00">
                  <c:v>-29</c:v>
                </c:pt>
                <c:pt idx="46" formatCode="0.00">
                  <c:v>10</c:v>
                </c:pt>
                <c:pt idx="47" formatCode="0.00">
                  <c:v>-37</c:v>
                </c:pt>
                <c:pt idx="48" formatCode="0.00">
                  <c:v>-13</c:v>
                </c:pt>
                <c:pt idx="49" formatCode="0.00">
                  <c:v>42</c:v>
                </c:pt>
                <c:pt idx="50" formatCode="0.00">
                  <c:v>-21</c:v>
                </c:pt>
                <c:pt idx="51" formatCode="0.00">
                  <c:v>9</c:v>
                </c:pt>
                <c:pt idx="52">
                  <c:v>47</c:v>
                </c:pt>
                <c:pt idx="53">
                  <c:v>26</c:v>
                </c:pt>
                <c:pt idx="54">
                  <c:v>44</c:v>
                </c:pt>
                <c:pt idx="55">
                  <c:v>-30</c:v>
                </c:pt>
                <c:pt idx="56">
                  <c:v>-35</c:v>
                </c:pt>
                <c:pt idx="57">
                  <c:v>-10</c:v>
                </c:pt>
                <c:pt idx="58">
                  <c:v>-31</c:v>
                </c:pt>
                <c:pt idx="59">
                  <c:v>19</c:v>
                </c:pt>
                <c:pt idx="60">
                  <c:v>3</c:v>
                </c:pt>
                <c:pt idx="61">
                  <c:v>-47</c:v>
                </c:pt>
                <c:pt idx="62">
                  <c:v>-30</c:v>
                </c:pt>
                <c:pt idx="63">
                  <c:v>-12</c:v>
                </c:pt>
                <c:pt idx="64">
                  <c:v>-5</c:v>
                </c:pt>
                <c:pt idx="65">
                  <c:v>-7</c:v>
                </c:pt>
                <c:pt idx="66">
                  <c:v>-35</c:v>
                </c:pt>
                <c:pt idx="67">
                  <c:v>-1</c:v>
                </c:pt>
                <c:pt idx="68">
                  <c:v>-24</c:v>
                </c:pt>
                <c:pt idx="69">
                  <c:v>47</c:v>
                </c:pt>
                <c:pt idx="70">
                  <c:v>23</c:v>
                </c:pt>
                <c:pt idx="71">
                  <c:v>27</c:v>
                </c:pt>
                <c:pt idx="72">
                  <c:v>-39</c:v>
                </c:pt>
                <c:pt idx="73">
                  <c:v>-19</c:v>
                </c:pt>
                <c:pt idx="74">
                  <c:v>15</c:v>
                </c:pt>
                <c:pt idx="75">
                  <c:v>1</c:v>
                </c:pt>
                <c:pt idx="76">
                  <c:v>1</c:v>
                </c:pt>
                <c:pt idx="77">
                  <c:v>-34</c:v>
                </c:pt>
                <c:pt idx="78">
                  <c:v>-46</c:v>
                </c:pt>
                <c:pt idx="79">
                  <c:v>45</c:v>
                </c:pt>
                <c:pt idx="80">
                  <c:v>-35</c:v>
                </c:pt>
                <c:pt idx="81">
                  <c:v>18</c:v>
                </c:pt>
                <c:pt idx="82">
                  <c:v>25</c:v>
                </c:pt>
                <c:pt idx="83">
                  <c:v>-5</c:v>
                </c:pt>
                <c:pt idx="84">
                  <c:v>46</c:v>
                </c:pt>
                <c:pt idx="85">
                  <c:v>-39</c:v>
                </c:pt>
                <c:pt idx="86">
                  <c:v>-11</c:v>
                </c:pt>
                <c:pt idx="87">
                  <c:v>21</c:v>
                </c:pt>
                <c:pt idx="88">
                  <c:v>-13</c:v>
                </c:pt>
                <c:pt idx="89">
                  <c:v>43</c:v>
                </c:pt>
                <c:pt idx="90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04512"/>
        <c:axId val="145510400"/>
      </c:scatterChart>
      <c:valAx>
        <c:axId val="14550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510400"/>
        <c:crosses val="autoZero"/>
        <c:crossBetween val="midCat"/>
      </c:valAx>
      <c:valAx>
        <c:axId val="145510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5504512"/>
        <c:crosses val="autoZero"/>
        <c:crossBetween val="midCat"/>
      </c:valAx>
    </c:plotArea>
    <c:plotVisOnly val="1"/>
    <c:dispBlanksAs val="gap"/>
    <c:showDLblsOverMax val="0"/>
  </c:chart>
  <c:spPr>
    <a:ln w="28575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1"/>
          </c:marker>
          <c:trendline>
            <c:spPr>
              <a:ln w="38100">
                <a:solidFill>
                  <a:srgbClr val="C0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10519563174518337"/>
                  <c:y val="9.1839790181713496E-2"/>
                </c:manualLayout>
              </c:layout>
              <c:numFmt formatCode="#,##0.0" sourceLinked="0"/>
              <c:txPr>
                <a:bodyPr/>
                <a:lstStyle/>
                <a:p>
                  <a:pPr>
                    <a:defRPr sz="1400"/>
                  </a:pPr>
                  <a:endParaRPr lang="en-US"/>
                </a:p>
              </c:txPr>
            </c:trendlineLbl>
          </c:trendline>
          <c:trendline>
            <c:trendlineType val="linear"/>
            <c:dispRSqr val="0"/>
            <c:dispEq val="0"/>
          </c:trendline>
          <c:trendline>
            <c:trendlineType val="power"/>
            <c:dispRSqr val="1"/>
            <c:dispEq val="1"/>
            <c:trendlineLbl>
              <c:numFmt formatCode="General" sourceLinked="0"/>
            </c:trendlineLbl>
          </c:trendline>
          <c:trendline>
            <c:trendlineType val="power"/>
            <c:dispRSqr val="0"/>
            <c:dispEq val="0"/>
          </c:trendline>
          <c:trendline>
            <c:trendlineType val="power"/>
            <c:dispRSqr val="0"/>
            <c:dispEq val="1"/>
            <c:trendlineLbl>
              <c:numFmt formatCode="General" sourceLinked="0"/>
            </c:trendlineLbl>
          </c:trendline>
          <c:trendline>
            <c:trendlineType val="log"/>
            <c:dispRSqr val="0"/>
            <c:dispEq val="0"/>
          </c:trendline>
          <c:trendline>
            <c:spPr>
              <a:ln w="38100">
                <a:solidFill>
                  <a:srgbClr val="C00000"/>
                </a:solidFill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5.3572480311119041E-3"/>
                  <c:y val="6.7691238218662769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en-US"/>
                </a:p>
              </c:txPr>
            </c:trendlineLbl>
          </c:trendline>
          <c:xVal>
            <c:numRef>
              <c:f>Correlation_Shapes!$CB$8:$CB$22</c:f>
              <c:numCache>
                <c:formatCode>General</c:formatCode>
                <c:ptCount val="15"/>
                <c:pt idx="0">
                  <c:v>-7</c:v>
                </c:pt>
                <c:pt idx="1">
                  <c:v>-6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xVal>
          <c:yVal>
            <c:numRef>
              <c:f>Correlation_Shapes!$CC$8:$CC$22</c:f>
              <c:numCache>
                <c:formatCode>General</c:formatCode>
                <c:ptCount val="15"/>
                <c:pt idx="0">
                  <c:v>49</c:v>
                </c:pt>
                <c:pt idx="1">
                  <c:v>36</c:v>
                </c:pt>
                <c:pt idx="2">
                  <c:v>25</c:v>
                </c:pt>
                <c:pt idx="3">
                  <c:v>16</c:v>
                </c:pt>
                <c:pt idx="4">
                  <c:v>9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9</c:v>
                </c:pt>
                <c:pt idx="11">
                  <c:v>16</c:v>
                </c:pt>
                <c:pt idx="12">
                  <c:v>25</c:v>
                </c:pt>
                <c:pt idx="13">
                  <c:v>36</c:v>
                </c:pt>
                <c:pt idx="14">
                  <c:v>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03680"/>
        <c:axId val="145705216"/>
      </c:scatterChart>
      <c:valAx>
        <c:axId val="14570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705216"/>
        <c:crosses val="autoZero"/>
        <c:crossBetween val="midCat"/>
      </c:valAx>
      <c:valAx>
        <c:axId val="145705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5703680"/>
        <c:crosses val="autoZero"/>
        <c:crossBetween val="midCat"/>
      </c:valAx>
    </c:plotArea>
    <c:plotVisOnly val="1"/>
    <c:dispBlanksAs val="gap"/>
    <c:showDLblsOverMax val="0"/>
  </c:chart>
  <c:spPr>
    <a:ln w="28575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1"/>
          </c:marker>
          <c:xVal>
            <c:numRef>
              <c:f>Correlation_Shapes!$CM$8:$CM$27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</c:numCache>
            </c:numRef>
          </c:xVal>
          <c:yVal>
            <c:numRef>
              <c:f>Correlation_Shapes!$CN$8:$CN$27</c:f>
              <c:numCache>
                <c:formatCode>0.00</c:formatCode>
                <c:ptCount val="20"/>
                <c:pt idx="0">
                  <c:v>2.2037575870463186</c:v>
                </c:pt>
                <c:pt idx="1">
                  <c:v>3.358220203366181</c:v>
                </c:pt>
                <c:pt idx="2">
                  <c:v>3.7348718889554293</c:v>
                </c:pt>
                <c:pt idx="3">
                  <c:v>0.79468279765422523</c:v>
                </c:pt>
                <c:pt idx="4">
                  <c:v>2.5758187155792376</c:v>
                </c:pt>
                <c:pt idx="5">
                  <c:v>5.6387229176081952</c:v>
                </c:pt>
                <c:pt idx="6">
                  <c:v>2.3648867661516686</c:v>
                </c:pt>
                <c:pt idx="7">
                  <c:v>7.0197139440825911</c:v>
                </c:pt>
                <c:pt idx="8">
                  <c:v>2.4844943108964737</c:v>
                </c:pt>
                <c:pt idx="9">
                  <c:v>4.263859925041368</c:v>
                </c:pt>
                <c:pt idx="10">
                  <c:v>7.4406621576554706</c:v>
                </c:pt>
                <c:pt idx="11">
                  <c:v>6.3124673747361868</c:v>
                </c:pt>
                <c:pt idx="12">
                  <c:v>6.7164752244613624</c:v>
                </c:pt>
                <c:pt idx="13">
                  <c:v>8.05712993295408</c:v>
                </c:pt>
                <c:pt idx="14">
                  <c:v>6.7117297887253482</c:v>
                </c:pt>
                <c:pt idx="15">
                  <c:v>8.9036226609878746</c:v>
                </c:pt>
                <c:pt idx="16">
                  <c:v>6.6034262839457227</c:v>
                </c:pt>
                <c:pt idx="17">
                  <c:v>8.0868789979344182</c:v>
                </c:pt>
                <c:pt idx="18">
                  <c:v>12.168585745823043</c:v>
                </c:pt>
                <c:pt idx="19">
                  <c:v>9.1883283282290353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37216"/>
        <c:axId val="145738752"/>
      </c:scatterChart>
      <c:valAx>
        <c:axId val="145737216"/>
        <c:scaling>
          <c:orientation val="minMax"/>
          <c:min val="-15"/>
        </c:scaling>
        <c:delete val="0"/>
        <c:axPos val="b"/>
        <c:numFmt formatCode="General" sourceLinked="1"/>
        <c:majorTickMark val="out"/>
        <c:minorTickMark val="none"/>
        <c:tickLblPos val="nextTo"/>
        <c:crossAx val="145738752"/>
        <c:crosses val="autoZero"/>
        <c:crossBetween val="midCat"/>
      </c:valAx>
      <c:valAx>
        <c:axId val="145738752"/>
        <c:scaling>
          <c:orientation val="minMax"/>
          <c:min val="-10"/>
        </c:scaling>
        <c:delete val="0"/>
        <c:axPos val="l"/>
        <c:numFmt formatCode="0.00" sourceLinked="1"/>
        <c:majorTickMark val="out"/>
        <c:minorTickMark val="none"/>
        <c:tickLblPos val="nextTo"/>
        <c:crossAx val="145737216"/>
        <c:crosses val="autoZero"/>
        <c:crossBetween val="midCat"/>
      </c:valAx>
    </c:plotArea>
    <c:plotVisOnly val="1"/>
    <c:dispBlanksAs val="gap"/>
    <c:showDLblsOverMax val="0"/>
  </c:chart>
  <c:spPr>
    <a:ln w="28575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1"/>
          </c:marker>
          <c:xVal>
            <c:numRef>
              <c:f>Correlation_Shapes!$CY$8:$CY$27</c:f>
              <c:numCache>
                <c:formatCode>General</c:formatCode>
                <c:ptCount val="20"/>
                <c:pt idx="0">
                  <c:v>-9.5</c:v>
                </c:pt>
                <c:pt idx="1">
                  <c:v>-8.5</c:v>
                </c:pt>
                <c:pt idx="2">
                  <c:v>-7.5</c:v>
                </c:pt>
                <c:pt idx="3">
                  <c:v>-6.5</c:v>
                </c:pt>
                <c:pt idx="4">
                  <c:v>-5.5</c:v>
                </c:pt>
                <c:pt idx="5">
                  <c:v>-4.5</c:v>
                </c:pt>
                <c:pt idx="6">
                  <c:v>-3.5</c:v>
                </c:pt>
                <c:pt idx="7">
                  <c:v>-2.5</c:v>
                </c:pt>
                <c:pt idx="8">
                  <c:v>-1.5</c:v>
                </c:pt>
                <c:pt idx="9">
                  <c:v>-0.5</c:v>
                </c:pt>
                <c:pt idx="10">
                  <c:v>0.5</c:v>
                </c:pt>
                <c:pt idx="11">
                  <c:v>1.5</c:v>
                </c:pt>
                <c:pt idx="12">
                  <c:v>2.5</c:v>
                </c:pt>
                <c:pt idx="13">
                  <c:v>3.5</c:v>
                </c:pt>
                <c:pt idx="14">
                  <c:v>4.5</c:v>
                </c:pt>
                <c:pt idx="15">
                  <c:v>5.5</c:v>
                </c:pt>
                <c:pt idx="16">
                  <c:v>6.5</c:v>
                </c:pt>
                <c:pt idx="17">
                  <c:v>7.5</c:v>
                </c:pt>
                <c:pt idx="18">
                  <c:v>8.5</c:v>
                </c:pt>
                <c:pt idx="19">
                  <c:v>9.5</c:v>
                </c:pt>
              </c:numCache>
            </c:numRef>
          </c:xVal>
          <c:yVal>
            <c:numRef>
              <c:f>Correlation_Shapes!$CZ$8:$CZ$27</c:f>
              <c:numCache>
                <c:formatCode>0.00</c:formatCode>
                <c:ptCount val="20"/>
                <c:pt idx="0">
                  <c:v>-3.5276591905453927</c:v>
                </c:pt>
                <c:pt idx="1">
                  <c:v>-2.3731965742255303</c:v>
                </c:pt>
                <c:pt idx="2">
                  <c:v>-1.996544888636282</c:v>
                </c:pt>
                <c:pt idx="3">
                  <c:v>-4.9367339799374861</c:v>
                </c:pt>
                <c:pt idx="4">
                  <c:v>-3.1555980620124737</c:v>
                </c:pt>
                <c:pt idx="5">
                  <c:v>-9.2693859983516091E-2</c:v>
                </c:pt>
                <c:pt idx="6">
                  <c:v>-3.3665300114400427</c:v>
                </c:pt>
                <c:pt idx="7">
                  <c:v>1.2882971664908798</c:v>
                </c:pt>
                <c:pt idx="8">
                  <c:v>-3.2469224666952377</c:v>
                </c:pt>
                <c:pt idx="9">
                  <c:v>-1.4675568525503433</c:v>
                </c:pt>
                <c:pt idx="10">
                  <c:v>1.7092453800637593</c:v>
                </c:pt>
                <c:pt idx="11">
                  <c:v>0.58105059714447549</c:v>
                </c:pt>
                <c:pt idx="12">
                  <c:v>0.98505844686965105</c:v>
                </c:pt>
                <c:pt idx="13">
                  <c:v>2.3257131553623687</c:v>
                </c:pt>
                <c:pt idx="14">
                  <c:v>0.98031301113363689</c:v>
                </c:pt>
                <c:pt idx="15">
                  <c:v>3.1722058833961633</c:v>
                </c:pt>
                <c:pt idx="16">
                  <c:v>0.87200950635401142</c:v>
                </c:pt>
                <c:pt idx="17">
                  <c:v>2.3554622203427069</c:v>
                </c:pt>
                <c:pt idx="18">
                  <c:v>6.4371689682313313</c:v>
                </c:pt>
                <c:pt idx="19">
                  <c:v>3.456911550637324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46176"/>
        <c:axId val="148123648"/>
      </c:scatterChart>
      <c:valAx>
        <c:axId val="145746176"/>
        <c:scaling>
          <c:orientation val="minMax"/>
          <c:max val="25"/>
          <c:min val="-15"/>
        </c:scaling>
        <c:delete val="0"/>
        <c:axPos val="b"/>
        <c:numFmt formatCode="General" sourceLinked="1"/>
        <c:majorTickMark val="out"/>
        <c:minorTickMark val="none"/>
        <c:tickLblPos val="nextTo"/>
        <c:crossAx val="148123648"/>
        <c:crosses val="autoZero"/>
        <c:crossBetween val="midCat"/>
      </c:valAx>
      <c:valAx>
        <c:axId val="148123648"/>
        <c:scaling>
          <c:orientation val="minMax"/>
          <c:max val="15"/>
          <c:min val="-10"/>
        </c:scaling>
        <c:delete val="0"/>
        <c:axPos val="l"/>
        <c:numFmt formatCode="0.00" sourceLinked="1"/>
        <c:majorTickMark val="out"/>
        <c:minorTickMark val="none"/>
        <c:tickLblPos val="nextTo"/>
        <c:crossAx val="145746176"/>
        <c:crosses val="autoZero"/>
        <c:crossBetween val="midCat"/>
      </c:valAx>
    </c:plotArea>
    <c:plotVisOnly val="1"/>
    <c:dispBlanksAs val="gap"/>
    <c:showDLblsOverMax val="0"/>
  </c:chart>
  <c:spPr>
    <a:ln w="28575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Correlation .146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1"/>
          </c:marker>
          <c:xVal>
            <c:numRef>
              <c:f>Correlation_Shapes!$DK$8:$DK$27</c:f>
              <c:numCache>
                <c:formatCode>General</c:formatCode>
                <c:ptCount val="20"/>
                <c:pt idx="0">
                  <c:v>1.4</c:v>
                </c:pt>
                <c:pt idx="1">
                  <c:v>-8.6</c:v>
                </c:pt>
                <c:pt idx="2">
                  <c:v>4.4000000000000004</c:v>
                </c:pt>
                <c:pt idx="3">
                  <c:v>-1.6</c:v>
                </c:pt>
                <c:pt idx="4">
                  <c:v>4.4000000000000004</c:v>
                </c:pt>
                <c:pt idx="5">
                  <c:v>-0.60000000000000009</c:v>
                </c:pt>
                <c:pt idx="6">
                  <c:v>-7.6</c:v>
                </c:pt>
                <c:pt idx="7">
                  <c:v>-11.6</c:v>
                </c:pt>
                <c:pt idx="8">
                  <c:v>12.4</c:v>
                </c:pt>
                <c:pt idx="9">
                  <c:v>15.4</c:v>
                </c:pt>
                <c:pt idx="10">
                  <c:v>-12.6</c:v>
                </c:pt>
                <c:pt idx="11">
                  <c:v>15.4</c:v>
                </c:pt>
                <c:pt idx="12">
                  <c:v>-7.6</c:v>
                </c:pt>
                <c:pt idx="13">
                  <c:v>-2.6</c:v>
                </c:pt>
                <c:pt idx="14">
                  <c:v>-21.6</c:v>
                </c:pt>
                <c:pt idx="15">
                  <c:v>18.399999999999999</c:v>
                </c:pt>
                <c:pt idx="16">
                  <c:v>17.399999999999999</c:v>
                </c:pt>
                <c:pt idx="17">
                  <c:v>-9.6</c:v>
                </c:pt>
                <c:pt idx="18">
                  <c:v>-4.5999999999999996</c:v>
                </c:pt>
                <c:pt idx="19">
                  <c:v>-0.60000000000000009</c:v>
                </c:pt>
              </c:numCache>
            </c:numRef>
          </c:xVal>
          <c:yVal>
            <c:numRef>
              <c:f>Correlation_Shapes!$DL$8:$DL$27</c:f>
              <c:numCache>
                <c:formatCode>0.00</c:formatCode>
                <c:ptCount val="20"/>
                <c:pt idx="0">
                  <c:v>13.25</c:v>
                </c:pt>
                <c:pt idx="1">
                  <c:v>-19.75</c:v>
                </c:pt>
                <c:pt idx="2">
                  <c:v>14.25</c:v>
                </c:pt>
                <c:pt idx="3">
                  <c:v>5.25</c:v>
                </c:pt>
                <c:pt idx="4">
                  <c:v>-8.75</c:v>
                </c:pt>
                <c:pt idx="5">
                  <c:v>15.25</c:v>
                </c:pt>
                <c:pt idx="6">
                  <c:v>-2.75</c:v>
                </c:pt>
                <c:pt idx="7">
                  <c:v>-18.75</c:v>
                </c:pt>
                <c:pt idx="8">
                  <c:v>-3.75</c:v>
                </c:pt>
                <c:pt idx="9">
                  <c:v>-1.75</c:v>
                </c:pt>
                <c:pt idx="10">
                  <c:v>-3.75</c:v>
                </c:pt>
                <c:pt idx="11">
                  <c:v>-13.75</c:v>
                </c:pt>
                <c:pt idx="12">
                  <c:v>19.25</c:v>
                </c:pt>
                <c:pt idx="13">
                  <c:v>-6.75</c:v>
                </c:pt>
                <c:pt idx="14">
                  <c:v>-12.75</c:v>
                </c:pt>
                <c:pt idx="15">
                  <c:v>4.25</c:v>
                </c:pt>
                <c:pt idx="16">
                  <c:v>2.25</c:v>
                </c:pt>
                <c:pt idx="17">
                  <c:v>12.25</c:v>
                </c:pt>
                <c:pt idx="18">
                  <c:v>-8.75</c:v>
                </c:pt>
                <c:pt idx="19">
                  <c:v>15.25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155392"/>
        <c:axId val="148157184"/>
      </c:scatterChart>
      <c:valAx>
        <c:axId val="148155392"/>
        <c:scaling>
          <c:orientation val="minMax"/>
          <c:max val="20"/>
          <c:min val="-20"/>
        </c:scaling>
        <c:delete val="0"/>
        <c:axPos val="b"/>
        <c:numFmt formatCode="General" sourceLinked="1"/>
        <c:majorTickMark val="out"/>
        <c:minorTickMark val="none"/>
        <c:tickLblPos val="nextTo"/>
        <c:crossAx val="148157184"/>
        <c:crosses val="autoZero"/>
        <c:crossBetween val="midCat"/>
      </c:valAx>
      <c:valAx>
        <c:axId val="148157184"/>
        <c:scaling>
          <c:orientation val="minMax"/>
          <c:max val="20"/>
          <c:min val="-20"/>
        </c:scaling>
        <c:delete val="0"/>
        <c:axPos val="l"/>
        <c:numFmt formatCode="0.00" sourceLinked="1"/>
        <c:majorTickMark val="out"/>
        <c:minorTickMark val="none"/>
        <c:tickLblPos val="nextTo"/>
        <c:crossAx val="148155392"/>
        <c:crosses val="autoZero"/>
        <c:crossBetween val="midCat"/>
      </c:valAx>
    </c:plotArea>
    <c:plotVisOnly val="1"/>
    <c:dispBlanksAs val="gap"/>
    <c:showDLblsOverMax val="0"/>
  </c:chart>
  <c:spPr>
    <a:ln w="28575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Correlation .0609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1"/>
          </c:marker>
          <c:xVal>
            <c:numRef>
              <c:f>Correlation_Shapes!$DV$8:$DV$57</c:f>
              <c:numCache>
                <c:formatCode>General</c:formatCode>
                <c:ptCount val="50"/>
                <c:pt idx="0">
                  <c:v>15</c:v>
                </c:pt>
                <c:pt idx="1">
                  <c:v>4</c:v>
                </c:pt>
                <c:pt idx="2">
                  <c:v>92</c:v>
                </c:pt>
                <c:pt idx="3">
                  <c:v>74</c:v>
                </c:pt>
                <c:pt idx="4">
                  <c:v>10</c:v>
                </c:pt>
                <c:pt idx="5">
                  <c:v>33</c:v>
                </c:pt>
                <c:pt idx="6">
                  <c:v>58</c:v>
                </c:pt>
                <c:pt idx="7">
                  <c:v>55</c:v>
                </c:pt>
                <c:pt idx="8">
                  <c:v>63</c:v>
                </c:pt>
                <c:pt idx="9">
                  <c:v>80</c:v>
                </c:pt>
                <c:pt idx="10">
                  <c:v>14</c:v>
                </c:pt>
                <c:pt idx="11">
                  <c:v>18</c:v>
                </c:pt>
                <c:pt idx="12">
                  <c:v>89</c:v>
                </c:pt>
                <c:pt idx="13">
                  <c:v>28</c:v>
                </c:pt>
                <c:pt idx="14">
                  <c:v>38</c:v>
                </c:pt>
                <c:pt idx="15">
                  <c:v>3</c:v>
                </c:pt>
                <c:pt idx="16">
                  <c:v>17</c:v>
                </c:pt>
                <c:pt idx="17">
                  <c:v>36</c:v>
                </c:pt>
                <c:pt idx="18">
                  <c:v>52</c:v>
                </c:pt>
                <c:pt idx="19">
                  <c:v>9</c:v>
                </c:pt>
                <c:pt idx="20">
                  <c:v>19</c:v>
                </c:pt>
                <c:pt idx="21">
                  <c:v>87</c:v>
                </c:pt>
                <c:pt idx="22">
                  <c:v>94</c:v>
                </c:pt>
                <c:pt idx="23">
                  <c:v>100</c:v>
                </c:pt>
                <c:pt idx="24">
                  <c:v>56</c:v>
                </c:pt>
                <c:pt idx="25">
                  <c:v>95</c:v>
                </c:pt>
                <c:pt idx="26">
                  <c:v>90</c:v>
                </c:pt>
                <c:pt idx="27">
                  <c:v>2</c:v>
                </c:pt>
                <c:pt idx="28">
                  <c:v>73</c:v>
                </c:pt>
                <c:pt idx="29">
                  <c:v>83</c:v>
                </c:pt>
                <c:pt idx="30">
                  <c:v>56</c:v>
                </c:pt>
                <c:pt idx="31">
                  <c:v>58</c:v>
                </c:pt>
                <c:pt idx="32">
                  <c:v>78</c:v>
                </c:pt>
                <c:pt idx="33">
                  <c:v>35</c:v>
                </c:pt>
                <c:pt idx="34">
                  <c:v>27</c:v>
                </c:pt>
                <c:pt idx="35">
                  <c:v>79</c:v>
                </c:pt>
                <c:pt idx="36">
                  <c:v>44</c:v>
                </c:pt>
                <c:pt idx="37">
                  <c:v>11</c:v>
                </c:pt>
                <c:pt idx="38">
                  <c:v>21</c:v>
                </c:pt>
                <c:pt idx="39">
                  <c:v>17</c:v>
                </c:pt>
                <c:pt idx="40">
                  <c:v>63</c:v>
                </c:pt>
                <c:pt idx="41">
                  <c:v>2</c:v>
                </c:pt>
                <c:pt idx="42">
                  <c:v>51</c:v>
                </c:pt>
                <c:pt idx="43">
                  <c:v>39</c:v>
                </c:pt>
                <c:pt idx="44">
                  <c:v>89</c:v>
                </c:pt>
                <c:pt idx="45">
                  <c:v>71</c:v>
                </c:pt>
                <c:pt idx="46">
                  <c:v>18</c:v>
                </c:pt>
                <c:pt idx="47">
                  <c:v>49</c:v>
                </c:pt>
                <c:pt idx="48">
                  <c:v>92</c:v>
                </c:pt>
                <c:pt idx="49">
                  <c:v>29</c:v>
                </c:pt>
              </c:numCache>
            </c:numRef>
          </c:xVal>
          <c:yVal>
            <c:numRef>
              <c:f>Correlation_Shapes!$DW$8:$DW$57</c:f>
              <c:numCache>
                <c:formatCode>0.00</c:formatCode>
                <c:ptCount val="50"/>
                <c:pt idx="0">
                  <c:v>88</c:v>
                </c:pt>
                <c:pt idx="1">
                  <c:v>89</c:v>
                </c:pt>
                <c:pt idx="2">
                  <c:v>62</c:v>
                </c:pt>
                <c:pt idx="3">
                  <c:v>47</c:v>
                </c:pt>
                <c:pt idx="4">
                  <c:v>99</c:v>
                </c:pt>
                <c:pt idx="5">
                  <c:v>18</c:v>
                </c:pt>
                <c:pt idx="6">
                  <c:v>99</c:v>
                </c:pt>
                <c:pt idx="7">
                  <c:v>29</c:v>
                </c:pt>
                <c:pt idx="8">
                  <c:v>48</c:v>
                </c:pt>
                <c:pt idx="9">
                  <c:v>60</c:v>
                </c:pt>
                <c:pt idx="10">
                  <c:v>88</c:v>
                </c:pt>
                <c:pt idx="11">
                  <c:v>27</c:v>
                </c:pt>
                <c:pt idx="12">
                  <c:v>48</c:v>
                </c:pt>
                <c:pt idx="13">
                  <c:v>10</c:v>
                </c:pt>
                <c:pt idx="14">
                  <c:v>21</c:v>
                </c:pt>
                <c:pt idx="15">
                  <c:v>37</c:v>
                </c:pt>
                <c:pt idx="16">
                  <c:v>19</c:v>
                </c:pt>
                <c:pt idx="17">
                  <c:v>50</c:v>
                </c:pt>
                <c:pt idx="18">
                  <c:v>57</c:v>
                </c:pt>
                <c:pt idx="19">
                  <c:v>39</c:v>
                </c:pt>
                <c:pt idx="20" formatCode="General">
                  <c:v>80</c:v>
                </c:pt>
                <c:pt idx="21" formatCode="General">
                  <c:v>29</c:v>
                </c:pt>
                <c:pt idx="22" formatCode="General">
                  <c:v>37</c:v>
                </c:pt>
                <c:pt idx="23" formatCode="General">
                  <c:v>71</c:v>
                </c:pt>
                <c:pt idx="24" formatCode="General">
                  <c:v>77</c:v>
                </c:pt>
                <c:pt idx="25" formatCode="General">
                  <c:v>70</c:v>
                </c:pt>
                <c:pt idx="26" formatCode="General">
                  <c:v>87</c:v>
                </c:pt>
                <c:pt idx="27" formatCode="General">
                  <c:v>70</c:v>
                </c:pt>
                <c:pt idx="28" formatCode="General">
                  <c:v>42</c:v>
                </c:pt>
                <c:pt idx="29" formatCode="General">
                  <c:v>57</c:v>
                </c:pt>
                <c:pt idx="30" formatCode="General">
                  <c:v>45</c:v>
                </c:pt>
                <c:pt idx="31" formatCode="General">
                  <c:v>58</c:v>
                </c:pt>
                <c:pt idx="32" formatCode="General">
                  <c:v>43</c:v>
                </c:pt>
                <c:pt idx="33" formatCode="General">
                  <c:v>75</c:v>
                </c:pt>
                <c:pt idx="34" formatCode="General">
                  <c:v>69</c:v>
                </c:pt>
                <c:pt idx="35" formatCode="General">
                  <c:v>57</c:v>
                </c:pt>
                <c:pt idx="36" formatCode="General">
                  <c:v>28</c:v>
                </c:pt>
                <c:pt idx="37" formatCode="General">
                  <c:v>67</c:v>
                </c:pt>
                <c:pt idx="38" formatCode="General">
                  <c:v>72</c:v>
                </c:pt>
                <c:pt idx="39" formatCode="General">
                  <c:v>10</c:v>
                </c:pt>
                <c:pt idx="40" formatCode="General">
                  <c:v>83</c:v>
                </c:pt>
                <c:pt idx="41" formatCode="General">
                  <c:v>71</c:v>
                </c:pt>
                <c:pt idx="42" formatCode="General">
                  <c:v>57</c:v>
                </c:pt>
                <c:pt idx="43" formatCode="General">
                  <c:v>12</c:v>
                </c:pt>
                <c:pt idx="44" formatCode="General">
                  <c:v>31</c:v>
                </c:pt>
                <c:pt idx="45" formatCode="General">
                  <c:v>71</c:v>
                </c:pt>
                <c:pt idx="46" formatCode="General">
                  <c:v>19</c:v>
                </c:pt>
                <c:pt idx="47" formatCode="General">
                  <c:v>57</c:v>
                </c:pt>
                <c:pt idx="48" formatCode="General">
                  <c:v>90</c:v>
                </c:pt>
                <c:pt idx="49" formatCode="General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377984"/>
        <c:axId val="148379520"/>
      </c:scatterChart>
      <c:valAx>
        <c:axId val="148377984"/>
        <c:scaling>
          <c:orientation val="minMax"/>
          <c:max val="1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48379520"/>
        <c:crosses val="autoZero"/>
        <c:crossBetween val="midCat"/>
      </c:valAx>
      <c:valAx>
        <c:axId val="148379520"/>
        <c:scaling>
          <c:orientation val="minMax"/>
          <c:max val="10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crossAx val="148377984"/>
        <c:crosses val="autoZero"/>
        <c:crossBetween val="midCat"/>
      </c:valAx>
    </c:plotArea>
    <c:plotVisOnly val="1"/>
    <c:dispBlanksAs val="gap"/>
    <c:showDLblsOverMax val="0"/>
  </c:chart>
  <c:spPr>
    <a:ln w="28575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</a:t>
            </a:r>
            <a:r>
              <a:rPr lang="en-US" baseline="0"/>
              <a:t> Change In Price - 2016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757653848626041"/>
          <c:y val="0.14603599702939921"/>
          <c:w val="0.79139688043571499"/>
          <c:h val="0.8135334378969523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'Stock Correlation'!$C$24</c:f>
              <c:strCache>
                <c:ptCount val="1"/>
                <c:pt idx="0">
                  <c:v>Exxon Mobil</c:v>
                </c:pt>
              </c:strCache>
            </c:strRef>
          </c:tx>
          <c:xVal>
            <c:numRef>
              <c:f>'Stock Correlation'!$B$26:$B$37</c:f>
              <c:numCache>
                <c:formatCode>d\-mmm\-yy</c:formatCode>
                <c:ptCount val="12"/>
                <c:pt idx="0">
                  <c:v>42401</c:v>
                </c:pt>
                <c:pt idx="1">
                  <c:v>42430</c:v>
                </c:pt>
                <c:pt idx="2">
                  <c:v>42461</c:v>
                </c:pt>
                <c:pt idx="3">
                  <c:v>42492</c:v>
                </c:pt>
                <c:pt idx="4">
                  <c:v>42522</c:v>
                </c:pt>
                <c:pt idx="5">
                  <c:v>42552</c:v>
                </c:pt>
                <c:pt idx="6">
                  <c:v>42583</c:v>
                </c:pt>
                <c:pt idx="7">
                  <c:v>42614</c:v>
                </c:pt>
                <c:pt idx="8">
                  <c:v>42646</c:v>
                </c:pt>
                <c:pt idx="9">
                  <c:v>42675</c:v>
                </c:pt>
                <c:pt idx="10">
                  <c:v>42705</c:v>
                </c:pt>
                <c:pt idx="11">
                  <c:v>42734</c:v>
                </c:pt>
              </c:numCache>
            </c:numRef>
          </c:xVal>
          <c:yVal>
            <c:numRef>
              <c:f>'Stock Correlation'!$C$26:$C$37</c:f>
              <c:numCache>
                <c:formatCode>0.00%</c:formatCode>
                <c:ptCount val="12"/>
                <c:pt idx="0">
                  <c:v>-1.510457010069699E-2</c:v>
                </c:pt>
                <c:pt idx="1">
                  <c:v>6.5408310394547087E-2</c:v>
                </c:pt>
                <c:pt idx="2">
                  <c:v>2.066929133858264E-2</c:v>
                </c:pt>
                <c:pt idx="3">
                  <c:v>7.4373191899710811E-2</c:v>
                </c:pt>
                <c:pt idx="4">
                  <c:v>1.2341523617187544E-3</c:v>
                </c:pt>
                <c:pt idx="5">
                  <c:v>5.1546391752577359E-2</c:v>
                </c:pt>
                <c:pt idx="6">
                  <c:v>-8.5038363171355491E-2</c:v>
                </c:pt>
                <c:pt idx="7">
                  <c:v>1.1413929652923427E-2</c:v>
                </c:pt>
                <c:pt idx="8">
                  <c:v>2.4182404421924097E-3</c:v>
                </c:pt>
                <c:pt idx="9">
                  <c:v>-3.9058012636415729E-2</c:v>
                </c:pt>
                <c:pt idx="10">
                  <c:v>4.2916915720262905E-2</c:v>
                </c:pt>
                <c:pt idx="11">
                  <c:v>3.4617148097203287E-2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'Stock Correlation'!$D$24</c:f>
              <c:strCache>
                <c:ptCount val="1"/>
                <c:pt idx="0">
                  <c:v>Chevron</c:v>
                </c:pt>
              </c:strCache>
            </c:strRef>
          </c:tx>
          <c:xVal>
            <c:numRef>
              <c:f>'Stock Correlation'!$B$26:$B$37</c:f>
              <c:numCache>
                <c:formatCode>d\-mmm\-yy</c:formatCode>
                <c:ptCount val="12"/>
                <c:pt idx="0">
                  <c:v>42401</c:v>
                </c:pt>
                <c:pt idx="1">
                  <c:v>42430</c:v>
                </c:pt>
                <c:pt idx="2">
                  <c:v>42461</c:v>
                </c:pt>
                <c:pt idx="3">
                  <c:v>42492</c:v>
                </c:pt>
                <c:pt idx="4">
                  <c:v>42522</c:v>
                </c:pt>
                <c:pt idx="5">
                  <c:v>42552</c:v>
                </c:pt>
                <c:pt idx="6">
                  <c:v>42583</c:v>
                </c:pt>
                <c:pt idx="7">
                  <c:v>42614</c:v>
                </c:pt>
                <c:pt idx="8">
                  <c:v>42646</c:v>
                </c:pt>
                <c:pt idx="9">
                  <c:v>42675</c:v>
                </c:pt>
                <c:pt idx="10">
                  <c:v>42705</c:v>
                </c:pt>
                <c:pt idx="11">
                  <c:v>42734</c:v>
                </c:pt>
              </c:numCache>
            </c:numRef>
          </c:xVal>
          <c:yVal>
            <c:numRef>
              <c:f>'Stock Correlation'!$D$26:$D$37</c:f>
              <c:numCache>
                <c:formatCode>0.00%</c:formatCode>
                <c:ptCount val="12"/>
                <c:pt idx="0">
                  <c:v>-4.0067529544175473E-2</c:v>
                </c:pt>
                <c:pt idx="1">
                  <c:v>9.8487513190290699E-3</c:v>
                </c:pt>
                <c:pt idx="2">
                  <c:v>9.4392197840473813E-2</c:v>
                </c:pt>
                <c:pt idx="3">
                  <c:v>9.6011033312115357E-2</c:v>
                </c:pt>
                <c:pt idx="4">
                  <c:v>-2.1101539057206575E-2</c:v>
                </c:pt>
                <c:pt idx="5">
                  <c:v>2.9862553149411664E-2</c:v>
                </c:pt>
                <c:pt idx="6">
                  <c:v>-4.839174267882862E-2</c:v>
                </c:pt>
                <c:pt idx="7">
                  <c:v>1.1098779134295134E-2</c:v>
                </c:pt>
                <c:pt idx="8">
                  <c:v>2.2353058576988438E-2</c:v>
                </c:pt>
                <c:pt idx="9">
                  <c:v>3.9336261591019994E-2</c:v>
                </c:pt>
                <c:pt idx="10">
                  <c:v>6.3955672426746935E-2</c:v>
                </c:pt>
                <c:pt idx="11">
                  <c:v>3.8926648424397525E-2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294080"/>
        <c:axId val="149299968"/>
      </c:scatterChart>
      <c:valAx>
        <c:axId val="149294080"/>
        <c:scaling>
          <c:orientation val="minMax"/>
          <c:max val="42735"/>
          <c:min val="42373"/>
        </c:scaling>
        <c:delete val="0"/>
        <c:axPos val="b"/>
        <c:numFmt formatCode="d\-mmm\-yy" sourceLinked="1"/>
        <c:majorTickMark val="out"/>
        <c:minorTickMark val="none"/>
        <c:tickLblPos val="nextTo"/>
        <c:crossAx val="149299968"/>
        <c:crosses val="autoZero"/>
        <c:crossBetween val="midCat"/>
      </c:valAx>
      <c:valAx>
        <c:axId val="14929996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492940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908978887954598"/>
          <c:y val="0.79102339491499662"/>
          <c:w val="0.22403721065605942"/>
          <c:h val="0.12957688466594822"/>
        </c:manualLayout>
      </c:layout>
      <c:overlay val="0"/>
    </c:legend>
    <c:plotVisOnly val="1"/>
    <c:dispBlanksAs val="gap"/>
    <c:showDLblsOverMax val="0"/>
  </c:chart>
  <c:spPr>
    <a:ln w="28575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Investment Return vs Standard Deviation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4450">
              <a:solidFill>
                <a:schemeClr val="tx1"/>
              </a:solidFill>
              <a:prstDash val="sysDash"/>
            </a:ln>
          </c:spPr>
          <c:marker>
            <c:symbol val="diamond"/>
            <c:size val="11"/>
            <c:spPr>
              <a:solidFill>
                <a:schemeClr val="tx1"/>
              </a:solidFill>
            </c:spPr>
          </c:marker>
          <c:xVal>
            <c:numRef>
              <c:f>'Stocks and Bonds'!$F$17:$F$18</c:f>
              <c:numCache>
                <c:formatCode>General</c:formatCode>
                <c:ptCount val="2"/>
                <c:pt idx="0">
                  <c:v>15.01</c:v>
                </c:pt>
                <c:pt idx="1">
                  <c:v>5.46</c:v>
                </c:pt>
              </c:numCache>
            </c:numRef>
          </c:xVal>
          <c:yVal>
            <c:numRef>
              <c:f>'Stocks and Bonds'!$G$17:$G$18</c:f>
              <c:numCache>
                <c:formatCode>General</c:formatCode>
                <c:ptCount val="2"/>
                <c:pt idx="0">
                  <c:v>11.64</c:v>
                </c:pt>
                <c:pt idx="1">
                  <c:v>7.86</c:v>
                </c:pt>
              </c:numCache>
            </c:numRef>
          </c:yVal>
          <c:smooth val="0"/>
        </c:ser>
        <c:ser>
          <c:idx val="1"/>
          <c:order val="1"/>
          <c:spPr>
            <a:ln w="57150"/>
          </c:spPr>
          <c:marker>
            <c:symbol val="none"/>
          </c:marker>
          <c:xVal>
            <c:numRef>
              <c:f>'Stocks and Bonds'!$V$3:$AF$3</c:f>
              <c:numCache>
                <c:formatCode>0.00</c:formatCode>
                <c:ptCount val="11"/>
                <c:pt idx="0">
                  <c:v>5.4633881112701426</c:v>
                </c:pt>
                <c:pt idx="1">
                  <c:v>5.0583733944825129</c:v>
                </c:pt>
                <c:pt idx="2">
                  <c:v>5.1589651035540163</c:v>
                </c:pt>
                <c:pt idx="3">
                  <c:v>5.7386364477466376</c:v>
                </c:pt>
                <c:pt idx="4">
                  <c:v>6.6736963833518361</c:v>
                </c:pt>
                <c:pt idx="5">
                  <c:v>7.8379682541433784</c:v>
                </c:pt>
                <c:pt idx="6">
                  <c:v>9.1443161082059383</c:v>
                </c:pt>
                <c:pt idx="7">
                  <c:v>10.540044384093839</c:v>
                </c:pt>
                <c:pt idx="8">
                  <c:v>11.993990242975041</c:v>
                </c:pt>
                <c:pt idx="9">
                  <c:v>13.487339102896911</c:v>
                </c:pt>
                <c:pt idx="10">
                  <c:v>15.008333618444185</c:v>
                </c:pt>
              </c:numCache>
            </c:numRef>
          </c:xVal>
          <c:yVal>
            <c:numRef>
              <c:f>'Stocks and Bonds'!$V$4:$AF$4</c:f>
              <c:numCache>
                <c:formatCode>0.00</c:formatCode>
                <c:ptCount val="11"/>
                <c:pt idx="0">
                  <c:v>7.8648456311861574</c:v>
                </c:pt>
                <c:pt idx="1">
                  <c:v>8.2421340595788539</c:v>
                </c:pt>
                <c:pt idx="2">
                  <c:v>8.6194224879715513</c:v>
                </c:pt>
                <c:pt idx="3">
                  <c:v>8.9967109163642593</c:v>
                </c:pt>
                <c:pt idx="4">
                  <c:v>9.3739993447569532</c:v>
                </c:pt>
                <c:pt idx="5">
                  <c:v>9.7512877731496506</c:v>
                </c:pt>
                <c:pt idx="6">
                  <c:v>10.128576201542337</c:v>
                </c:pt>
                <c:pt idx="7">
                  <c:v>10.505864629935047</c:v>
                </c:pt>
                <c:pt idx="8">
                  <c:v>10.883153058327746</c:v>
                </c:pt>
                <c:pt idx="9">
                  <c:v>11.260441486720444</c:v>
                </c:pt>
                <c:pt idx="10">
                  <c:v>11.637729915113143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415616"/>
        <c:axId val="150417792"/>
      </c:scatterChart>
      <c:valAx>
        <c:axId val="150415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Standard Deviation Of Annual Return %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50417792"/>
        <c:crosses val="autoZero"/>
        <c:crossBetween val="midCat"/>
      </c:valAx>
      <c:valAx>
        <c:axId val="1504177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Average Annual Return %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50415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Investment Return vs Standard Deviation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4450">
              <a:solidFill>
                <a:schemeClr val="tx1"/>
              </a:solidFill>
              <a:prstDash val="sysDash"/>
            </a:ln>
          </c:spPr>
          <c:marker>
            <c:symbol val="diamond"/>
            <c:size val="11"/>
            <c:spPr>
              <a:solidFill>
                <a:schemeClr val="tx1"/>
              </a:solidFill>
            </c:spPr>
          </c:marker>
          <c:xVal>
            <c:numRef>
              <c:f>'Stocks and Bonds'!$F$17:$F$18</c:f>
              <c:numCache>
                <c:formatCode>General</c:formatCode>
                <c:ptCount val="2"/>
                <c:pt idx="0">
                  <c:v>15.01</c:v>
                </c:pt>
                <c:pt idx="1">
                  <c:v>5.46</c:v>
                </c:pt>
              </c:numCache>
            </c:numRef>
          </c:xVal>
          <c:yVal>
            <c:numRef>
              <c:f>'Stocks and Bonds'!$G$17:$G$18</c:f>
              <c:numCache>
                <c:formatCode>General</c:formatCode>
                <c:ptCount val="2"/>
                <c:pt idx="0">
                  <c:v>11.64</c:v>
                </c:pt>
                <c:pt idx="1">
                  <c:v>7.86</c:v>
                </c:pt>
              </c:numCache>
            </c:numRef>
          </c:yVal>
          <c:smooth val="0"/>
        </c:ser>
        <c:ser>
          <c:idx val="1"/>
          <c:order val="1"/>
          <c:spPr>
            <a:ln w="57150"/>
          </c:spPr>
          <c:marker>
            <c:symbol val="diamond"/>
            <c:size val="7"/>
            <c:spPr>
              <a:solidFill>
                <a:srgbClr val="0070C0"/>
              </a:solidFill>
            </c:spPr>
          </c:marker>
          <c:xVal>
            <c:numRef>
              <c:f>'Stocks and Bonds'!$V$3:$AF$3</c:f>
              <c:numCache>
                <c:formatCode>0.00</c:formatCode>
                <c:ptCount val="11"/>
                <c:pt idx="0">
                  <c:v>5.4633881112701426</c:v>
                </c:pt>
                <c:pt idx="1">
                  <c:v>5.0583733944825129</c:v>
                </c:pt>
                <c:pt idx="2">
                  <c:v>5.1589651035540163</c:v>
                </c:pt>
                <c:pt idx="3">
                  <c:v>5.7386364477466376</c:v>
                </c:pt>
                <c:pt idx="4">
                  <c:v>6.6736963833518361</c:v>
                </c:pt>
                <c:pt idx="5">
                  <c:v>7.8379682541433784</c:v>
                </c:pt>
                <c:pt idx="6">
                  <c:v>9.1443161082059383</c:v>
                </c:pt>
                <c:pt idx="7">
                  <c:v>10.540044384093839</c:v>
                </c:pt>
                <c:pt idx="8">
                  <c:v>11.993990242975041</c:v>
                </c:pt>
                <c:pt idx="9">
                  <c:v>13.487339102896911</c:v>
                </c:pt>
                <c:pt idx="10">
                  <c:v>15.008333618444185</c:v>
                </c:pt>
              </c:numCache>
            </c:numRef>
          </c:xVal>
          <c:yVal>
            <c:numRef>
              <c:f>'Stocks and Bonds'!$V$4:$AF$4</c:f>
              <c:numCache>
                <c:formatCode>0.00</c:formatCode>
                <c:ptCount val="11"/>
                <c:pt idx="0">
                  <c:v>7.8648456311861574</c:v>
                </c:pt>
                <c:pt idx="1">
                  <c:v>8.2421340595788539</c:v>
                </c:pt>
                <c:pt idx="2">
                  <c:v>8.6194224879715513</c:v>
                </c:pt>
                <c:pt idx="3">
                  <c:v>8.9967109163642593</c:v>
                </c:pt>
                <c:pt idx="4">
                  <c:v>9.3739993447569532</c:v>
                </c:pt>
                <c:pt idx="5">
                  <c:v>9.7512877731496506</c:v>
                </c:pt>
                <c:pt idx="6">
                  <c:v>10.128576201542337</c:v>
                </c:pt>
                <c:pt idx="7">
                  <c:v>10.505864629935047</c:v>
                </c:pt>
                <c:pt idx="8">
                  <c:v>10.883153058327746</c:v>
                </c:pt>
                <c:pt idx="9">
                  <c:v>11.260441486720444</c:v>
                </c:pt>
                <c:pt idx="10">
                  <c:v>11.637729915113143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452480"/>
        <c:axId val="150610688"/>
      </c:scatterChart>
      <c:valAx>
        <c:axId val="15045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Standard Deviation Of Annual Return %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50610688"/>
        <c:crosses val="autoZero"/>
        <c:crossBetween val="midCat"/>
      </c:valAx>
      <c:valAx>
        <c:axId val="1506106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Average Annual Return %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50452480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Normalized Viewers By Episode In A Season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57150"/>
            </c:spPr>
            <c:trendlineType val="linear"/>
            <c:dispRSqr val="1"/>
            <c:dispEq val="1"/>
            <c:trendlineLbl>
              <c:layout>
                <c:manualLayout>
                  <c:x val="2.3939708348730777E-2"/>
                  <c:y val="0.14178355804918955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600"/>
                  </a:pPr>
                  <a:endParaRPr lang="en-US"/>
                </a:p>
              </c:txPr>
            </c:trendlineLbl>
          </c:trendline>
          <c:xVal>
            <c:numRef>
              <c:f>'Modern Family'!$B$15:$B$180</c:f>
              <c:numCache>
                <c:formatCode>General</c:formatCode>
                <c:ptCount val="1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13</c:v>
                </c:pt>
                <c:pt idx="61">
                  <c:v>14</c:v>
                </c:pt>
                <c:pt idx="62">
                  <c:v>15</c:v>
                </c:pt>
                <c:pt idx="63">
                  <c:v>16</c:v>
                </c:pt>
                <c:pt idx="64">
                  <c:v>17</c:v>
                </c:pt>
                <c:pt idx="65">
                  <c:v>18</c:v>
                </c:pt>
                <c:pt idx="66">
                  <c:v>19</c:v>
                </c:pt>
                <c:pt idx="67">
                  <c:v>20</c:v>
                </c:pt>
                <c:pt idx="68">
                  <c:v>21</c:v>
                </c:pt>
                <c:pt idx="69">
                  <c:v>22</c:v>
                </c:pt>
                <c:pt idx="70">
                  <c:v>23</c:v>
                </c:pt>
                <c:pt idx="71">
                  <c:v>24</c:v>
                </c:pt>
                <c:pt idx="72">
                  <c:v>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13</c:v>
                </c:pt>
                <c:pt idx="85">
                  <c:v>14</c:v>
                </c:pt>
                <c:pt idx="86">
                  <c:v>15</c:v>
                </c:pt>
                <c:pt idx="87">
                  <c:v>16</c:v>
                </c:pt>
                <c:pt idx="88">
                  <c:v>17</c:v>
                </c:pt>
                <c:pt idx="89">
                  <c:v>18</c:v>
                </c:pt>
                <c:pt idx="90">
                  <c:v>19</c:v>
                </c:pt>
                <c:pt idx="91">
                  <c:v>20</c:v>
                </c:pt>
                <c:pt idx="92">
                  <c:v>21</c:v>
                </c:pt>
                <c:pt idx="93">
                  <c:v>22</c:v>
                </c:pt>
                <c:pt idx="94">
                  <c:v>23</c:v>
                </c:pt>
                <c:pt idx="95">
                  <c:v>24</c:v>
                </c:pt>
                <c:pt idx="96">
                  <c:v>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13</c:v>
                </c:pt>
                <c:pt idx="109">
                  <c:v>14</c:v>
                </c:pt>
                <c:pt idx="110">
                  <c:v>15</c:v>
                </c:pt>
                <c:pt idx="111">
                  <c:v>16</c:v>
                </c:pt>
                <c:pt idx="112">
                  <c:v>17</c:v>
                </c:pt>
                <c:pt idx="113">
                  <c:v>18</c:v>
                </c:pt>
                <c:pt idx="114">
                  <c:v>19</c:v>
                </c:pt>
                <c:pt idx="115">
                  <c:v>20</c:v>
                </c:pt>
                <c:pt idx="116">
                  <c:v>21</c:v>
                </c:pt>
                <c:pt idx="117">
                  <c:v>22</c:v>
                </c:pt>
                <c:pt idx="118">
                  <c:v>23</c:v>
                </c:pt>
                <c:pt idx="119">
                  <c:v>24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13</c:v>
                </c:pt>
                <c:pt idx="157">
                  <c:v>14</c:v>
                </c:pt>
                <c:pt idx="158">
                  <c:v>15</c:v>
                </c:pt>
                <c:pt idx="159">
                  <c:v>16</c:v>
                </c:pt>
                <c:pt idx="160">
                  <c:v>17</c:v>
                </c:pt>
                <c:pt idx="161">
                  <c:v>18</c:v>
                </c:pt>
                <c:pt idx="162">
                  <c:v>19</c:v>
                </c:pt>
                <c:pt idx="163">
                  <c:v>20</c:v>
                </c:pt>
                <c:pt idx="164">
                  <c:v>21</c:v>
                </c:pt>
                <c:pt idx="165">
                  <c:v>22</c:v>
                </c:pt>
              </c:numCache>
            </c:numRef>
          </c:xVal>
          <c:yVal>
            <c:numRef>
              <c:f>'Modern Family'!$C$15:$C$180</c:f>
              <c:numCache>
                <c:formatCode>0.00</c:formatCode>
                <c:ptCount val="166"/>
                <c:pt idx="0">
                  <c:v>1</c:v>
                </c:pt>
                <c:pt idx="1">
                  <c:v>0.79285714285714293</c:v>
                </c:pt>
                <c:pt idx="2">
                  <c:v>0.70000000000000007</c:v>
                </c:pt>
                <c:pt idx="3">
                  <c:v>0.74206349206349209</c:v>
                </c:pt>
                <c:pt idx="4">
                  <c:v>0.6873015873015873</c:v>
                </c:pt>
                <c:pt idx="5">
                  <c:v>0.73968253968253972</c:v>
                </c:pt>
                <c:pt idx="6">
                  <c:v>0.696031746031746</c:v>
                </c:pt>
                <c:pt idx="7">
                  <c:v>0.72698412698412707</c:v>
                </c:pt>
                <c:pt idx="8">
                  <c:v>0.56507936507936507</c:v>
                </c:pt>
                <c:pt idx="9">
                  <c:v>0.76746031746031751</c:v>
                </c:pt>
                <c:pt idx="10">
                  <c:v>0.81111111111111123</c:v>
                </c:pt>
                <c:pt idx="11">
                  <c:v>0.62142857142857144</c:v>
                </c:pt>
                <c:pt idx="12">
                  <c:v>0.78015873015873016</c:v>
                </c:pt>
                <c:pt idx="13">
                  <c:v>0.72936507936507933</c:v>
                </c:pt>
                <c:pt idx="14">
                  <c:v>0.78095238095238095</c:v>
                </c:pt>
                <c:pt idx="15">
                  <c:v>0.63571428571428568</c:v>
                </c:pt>
                <c:pt idx="16">
                  <c:v>0.71031746031746024</c:v>
                </c:pt>
                <c:pt idx="17">
                  <c:v>0.72857142857142854</c:v>
                </c:pt>
                <c:pt idx="18">
                  <c:v>0.75476190476190474</c:v>
                </c:pt>
                <c:pt idx="19">
                  <c:v>0.70476190476190481</c:v>
                </c:pt>
                <c:pt idx="20">
                  <c:v>0.7944444444444444</c:v>
                </c:pt>
                <c:pt idx="21">
                  <c:v>0.75238095238095248</c:v>
                </c:pt>
                <c:pt idx="22">
                  <c:v>0.82063492063492061</c:v>
                </c:pt>
                <c:pt idx="23">
                  <c:v>0.80476190476190479</c:v>
                </c:pt>
                <c:pt idx="24">
                  <c:v>1</c:v>
                </c:pt>
                <c:pt idx="25">
                  <c:v>0.94080505130228886</c:v>
                </c:pt>
                <c:pt idx="26">
                  <c:v>0.90292028413575376</c:v>
                </c:pt>
                <c:pt idx="27">
                  <c:v>0.90370955011838983</c:v>
                </c:pt>
                <c:pt idx="28">
                  <c:v>0.94475138121546964</c:v>
                </c:pt>
                <c:pt idx="29">
                  <c:v>1.0370955011838989</c:v>
                </c:pt>
                <c:pt idx="30">
                  <c:v>0.96606156274664567</c:v>
                </c:pt>
                <c:pt idx="31">
                  <c:v>0.95422257300710334</c:v>
                </c:pt>
                <c:pt idx="32">
                  <c:v>0.83425414364640882</c:v>
                </c:pt>
                <c:pt idx="33">
                  <c:v>0.87371744277821628</c:v>
                </c:pt>
                <c:pt idx="34">
                  <c:v>0.93370165745856359</c:v>
                </c:pt>
                <c:pt idx="35">
                  <c:v>0.87766377269139695</c:v>
                </c:pt>
                <c:pt idx="36">
                  <c:v>0.86661404893449101</c:v>
                </c:pt>
                <c:pt idx="37">
                  <c:v>1.0386740331491713</c:v>
                </c:pt>
                <c:pt idx="38">
                  <c:v>0.83425414364640882</c:v>
                </c:pt>
                <c:pt idx="39">
                  <c:v>0.80268350434096292</c:v>
                </c:pt>
                <c:pt idx="40">
                  <c:v>0.79794790844514596</c:v>
                </c:pt>
                <c:pt idx="41">
                  <c:v>0.86029992107340181</c:v>
                </c:pt>
                <c:pt idx="42">
                  <c:v>0.75848460931333861</c:v>
                </c:pt>
                <c:pt idx="43">
                  <c:v>0.78531965272296755</c:v>
                </c:pt>
                <c:pt idx="44">
                  <c:v>0.78137332280978689</c:v>
                </c:pt>
                <c:pt idx="45">
                  <c:v>0.80110497237569067</c:v>
                </c:pt>
                <c:pt idx="46">
                  <c:v>0.8129439621152329</c:v>
                </c:pt>
                <c:pt idx="47">
                  <c:v>0.81373322809786908</c:v>
                </c:pt>
                <c:pt idx="48">
                  <c:v>1</c:v>
                </c:pt>
                <c:pt idx="49">
                  <c:v>1.0013774104683195</c:v>
                </c:pt>
                <c:pt idx="50">
                  <c:v>0.92630853994490359</c:v>
                </c:pt>
                <c:pt idx="51">
                  <c:v>0.91184573002754821</c:v>
                </c:pt>
                <c:pt idx="52">
                  <c:v>0.94008264462809921</c:v>
                </c:pt>
                <c:pt idx="53">
                  <c:v>0.89807162534435259</c:v>
                </c:pt>
                <c:pt idx="54">
                  <c:v>0.92079889807162529</c:v>
                </c:pt>
                <c:pt idx="55">
                  <c:v>0.8891184573002755</c:v>
                </c:pt>
                <c:pt idx="56">
                  <c:v>0.87603305785123975</c:v>
                </c:pt>
                <c:pt idx="57">
                  <c:v>0.84022038567493107</c:v>
                </c:pt>
                <c:pt idx="58">
                  <c:v>0.96625344352617082</c:v>
                </c:pt>
                <c:pt idx="59">
                  <c:v>0.83471074380165289</c:v>
                </c:pt>
                <c:pt idx="60">
                  <c:v>0.81887052341597799</c:v>
                </c:pt>
                <c:pt idx="61">
                  <c:v>0.88842975206611574</c:v>
                </c:pt>
                <c:pt idx="62">
                  <c:v>0.77341597796143258</c:v>
                </c:pt>
                <c:pt idx="63">
                  <c:v>0.79476584022038566</c:v>
                </c:pt>
                <c:pt idx="64">
                  <c:v>0.80096418732782382</c:v>
                </c:pt>
                <c:pt idx="65">
                  <c:v>0.73002754820936644</c:v>
                </c:pt>
                <c:pt idx="66">
                  <c:v>0.71280991735537191</c:v>
                </c:pt>
                <c:pt idx="67">
                  <c:v>0.70316804407713507</c:v>
                </c:pt>
                <c:pt idx="68">
                  <c:v>0.69283746556473835</c:v>
                </c:pt>
                <c:pt idx="69">
                  <c:v>0.72865013774104681</c:v>
                </c:pt>
                <c:pt idx="70">
                  <c:v>0.64462809917355368</c:v>
                </c:pt>
                <c:pt idx="71">
                  <c:v>0.69352617079889811</c:v>
                </c:pt>
                <c:pt idx="72">
                  <c:v>1</c:v>
                </c:pt>
                <c:pt idx="73">
                  <c:v>0.83656509695290859</c:v>
                </c:pt>
                <c:pt idx="74">
                  <c:v>0.85249307479224379</c:v>
                </c:pt>
                <c:pt idx="75">
                  <c:v>0.85041551246537395</c:v>
                </c:pt>
                <c:pt idx="76">
                  <c:v>0.86703601108033246</c:v>
                </c:pt>
                <c:pt idx="77">
                  <c:v>0.73545706371191133</c:v>
                </c:pt>
                <c:pt idx="78">
                  <c:v>0.86080332409972304</c:v>
                </c:pt>
                <c:pt idx="79">
                  <c:v>0.82340720221606656</c:v>
                </c:pt>
                <c:pt idx="80">
                  <c:v>0.8317174515235457</c:v>
                </c:pt>
                <c:pt idx="81">
                  <c:v>0.75761772853185594</c:v>
                </c:pt>
                <c:pt idx="82">
                  <c:v>0.83379501385041543</c:v>
                </c:pt>
                <c:pt idx="83">
                  <c:v>0.76246537396121883</c:v>
                </c:pt>
                <c:pt idx="84">
                  <c:v>0.75</c:v>
                </c:pt>
                <c:pt idx="85">
                  <c:v>0.68074792243767313</c:v>
                </c:pt>
                <c:pt idx="86">
                  <c:v>0.69598337950138511</c:v>
                </c:pt>
                <c:pt idx="87">
                  <c:v>0.73545706371191133</c:v>
                </c:pt>
                <c:pt idx="88">
                  <c:v>0.72922437673130192</c:v>
                </c:pt>
                <c:pt idx="89">
                  <c:v>0.62950138504155129</c:v>
                </c:pt>
                <c:pt idx="90">
                  <c:v>0.75346260387811648</c:v>
                </c:pt>
                <c:pt idx="91">
                  <c:v>0.71883656509695304</c:v>
                </c:pt>
                <c:pt idx="92">
                  <c:v>0.66759002770083109</c:v>
                </c:pt>
                <c:pt idx="93">
                  <c:v>0.6246537396121884</c:v>
                </c:pt>
                <c:pt idx="94">
                  <c:v>0.69459833795013848</c:v>
                </c:pt>
                <c:pt idx="95">
                  <c:v>0.69321329639889195</c:v>
                </c:pt>
                <c:pt idx="96">
                  <c:v>1</c:v>
                </c:pt>
                <c:pt idx="97">
                  <c:v>0.99487617421007679</c:v>
                </c:pt>
                <c:pt idx="98">
                  <c:v>0.94961571306575565</c:v>
                </c:pt>
                <c:pt idx="99">
                  <c:v>0.90862510674637065</c:v>
                </c:pt>
                <c:pt idx="100">
                  <c:v>0.93424423569598625</c:v>
                </c:pt>
                <c:pt idx="101">
                  <c:v>0.88129803586678046</c:v>
                </c:pt>
                <c:pt idx="102">
                  <c:v>0.91801878736122966</c:v>
                </c:pt>
                <c:pt idx="103">
                  <c:v>0.87019641332194697</c:v>
                </c:pt>
                <c:pt idx="104">
                  <c:v>0.80871050384286935</c:v>
                </c:pt>
                <c:pt idx="105">
                  <c:v>0.90606319385140899</c:v>
                </c:pt>
                <c:pt idx="106">
                  <c:v>0.81212638770281798</c:v>
                </c:pt>
                <c:pt idx="107">
                  <c:v>0.7805294619982921</c:v>
                </c:pt>
                <c:pt idx="108">
                  <c:v>0.81895815542271555</c:v>
                </c:pt>
                <c:pt idx="109">
                  <c:v>0.84286934244235678</c:v>
                </c:pt>
                <c:pt idx="110">
                  <c:v>0.7275832621690862</c:v>
                </c:pt>
                <c:pt idx="111">
                  <c:v>0.78736122971818956</c:v>
                </c:pt>
                <c:pt idx="112">
                  <c:v>0.80187873612297178</c:v>
                </c:pt>
                <c:pt idx="113">
                  <c:v>0.86165670367207503</c:v>
                </c:pt>
                <c:pt idx="114">
                  <c:v>0.76857386848847131</c:v>
                </c:pt>
                <c:pt idx="115">
                  <c:v>0.81895815542271555</c:v>
                </c:pt>
                <c:pt idx="116">
                  <c:v>0.71648163962425282</c:v>
                </c:pt>
                <c:pt idx="117">
                  <c:v>0.73014517506404786</c:v>
                </c:pt>
                <c:pt idx="118">
                  <c:v>0.77540563620836889</c:v>
                </c:pt>
                <c:pt idx="119">
                  <c:v>0.89239965841161384</c:v>
                </c:pt>
                <c:pt idx="120">
                  <c:v>1</c:v>
                </c:pt>
                <c:pt idx="121">
                  <c:v>0.92794376098418274</c:v>
                </c:pt>
                <c:pt idx="122">
                  <c:v>0.90509666080843587</c:v>
                </c:pt>
                <c:pt idx="123">
                  <c:v>0.85325131810193322</c:v>
                </c:pt>
                <c:pt idx="124">
                  <c:v>0.89279437609841827</c:v>
                </c:pt>
                <c:pt idx="125">
                  <c:v>0.8717047451669595</c:v>
                </c:pt>
                <c:pt idx="126">
                  <c:v>0.86379613356766249</c:v>
                </c:pt>
                <c:pt idx="127">
                  <c:v>0.95606326889279436</c:v>
                </c:pt>
                <c:pt idx="128">
                  <c:v>0.7926186291739894</c:v>
                </c:pt>
                <c:pt idx="129">
                  <c:v>0.8514938488576449</c:v>
                </c:pt>
                <c:pt idx="130">
                  <c:v>0.81634446397188032</c:v>
                </c:pt>
                <c:pt idx="131">
                  <c:v>0.82952548330404208</c:v>
                </c:pt>
                <c:pt idx="132">
                  <c:v>0.86731107205623892</c:v>
                </c:pt>
                <c:pt idx="133">
                  <c:v>0.85852372583479775</c:v>
                </c:pt>
                <c:pt idx="134">
                  <c:v>0.77328646748681895</c:v>
                </c:pt>
                <c:pt idx="135">
                  <c:v>0.8189806678383128</c:v>
                </c:pt>
                <c:pt idx="136">
                  <c:v>0.84446397188049194</c:v>
                </c:pt>
                <c:pt idx="137">
                  <c:v>0.76537785588752194</c:v>
                </c:pt>
                <c:pt idx="138">
                  <c:v>0.82864674868189803</c:v>
                </c:pt>
                <c:pt idx="139">
                  <c:v>0.77768014059753943</c:v>
                </c:pt>
                <c:pt idx="140">
                  <c:v>0.70298769771528991</c:v>
                </c:pt>
                <c:pt idx="141">
                  <c:v>0.75307557117750434</c:v>
                </c:pt>
                <c:pt idx="142">
                  <c:v>0.71441124780316345</c:v>
                </c:pt>
                <c:pt idx="143">
                  <c:v>0.63268892794376097</c:v>
                </c:pt>
                <c:pt idx="144">
                  <c:v>1</c:v>
                </c:pt>
                <c:pt idx="145">
                  <c:v>0.92177589852008457</c:v>
                </c:pt>
                <c:pt idx="146">
                  <c:v>0.84460887949260033</c:v>
                </c:pt>
                <c:pt idx="147">
                  <c:v>0.83298097251585612</c:v>
                </c:pt>
                <c:pt idx="148">
                  <c:v>0.82452431289640582</c:v>
                </c:pt>
                <c:pt idx="149">
                  <c:v>0.86152219873150104</c:v>
                </c:pt>
                <c:pt idx="150">
                  <c:v>0.88583509513742076</c:v>
                </c:pt>
                <c:pt idx="151">
                  <c:v>0.7769556025369978</c:v>
                </c:pt>
                <c:pt idx="152">
                  <c:v>0.86680761099365733</c:v>
                </c:pt>
                <c:pt idx="153">
                  <c:v>0.88266384778012674</c:v>
                </c:pt>
                <c:pt idx="154">
                  <c:v>0.86363636363636354</c:v>
                </c:pt>
                <c:pt idx="155">
                  <c:v>0.82452431289640582</c:v>
                </c:pt>
                <c:pt idx="156">
                  <c:v>0.79069767441860461</c:v>
                </c:pt>
                <c:pt idx="157">
                  <c:v>0.85623678646934454</c:v>
                </c:pt>
                <c:pt idx="158">
                  <c:v>0.86892177589852004</c:v>
                </c:pt>
                <c:pt idx="159">
                  <c:v>0.86046511627906974</c:v>
                </c:pt>
                <c:pt idx="160">
                  <c:v>0.81289640591966172</c:v>
                </c:pt>
                <c:pt idx="161">
                  <c:v>0.79386892177589841</c:v>
                </c:pt>
                <c:pt idx="162">
                  <c:v>0.78646934460887952</c:v>
                </c:pt>
                <c:pt idx="163">
                  <c:v>0.7843551797040168</c:v>
                </c:pt>
                <c:pt idx="164">
                  <c:v>0.75687103594080329</c:v>
                </c:pt>
                <c:pt idx="165">
                  <c:v>0.71775898520084558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925696"/>
        <c:axId val="150927616"/>
      </c:scatterChart>
      <c:valAx>
        <c:axId val="150925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Episode In A Season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50927616"/>
        <c:crosses val="autoZero"/>
        <c:crossBetween val="midCat"/>
      </c:valAx>
      <c:valAx>
        <c:axId val="1509276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Ratio To Viewers In Episode 1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509256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Notional Viewers For A Season Of American Television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'Modern Family'!$BF$14</c:f>
              <c:strCache>
                <c:ptCount val="1"/>
                <c:pt idx="0">
                  <c:v>Viewers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47625">
                <a:solidFill>
                  <a:schemeClr val="accent1"/>
                </a:solidFill>
              </a:ln>
              <a:effectLst/>
            </c:spPr>
          </c:marker>
          <c:xVal>
            <c:numRef>
              <c:f>'Modern Family'!$BE$15:$BE$39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Family'!$BF$15:$BF$39</c:f>
              <c:numCache>
                <c:formatCode>General</c:formatCode>
                <c:ptCount val="25"/>
                <c:pt idx="0">
                  <c:v>10</c:v>
                </c:pt>
                <c:pt idx="1">
                  <c:v>9.8000000000000007</c:v>
                </c:pt>
                <c:pt idx="2">
                  <c:v>9.6000000000000014</c:v>
                </c:pt>
                <c:pt idx="3">
                  <c:v>9.4000000000000021</c:v>
                </c:pt>
                <c:pt idx="4">
                  <c:v>9.2000000000000028</c:v>
                </c:pt>
                <c:pt idx="5">
                  <c:v>9.0000000000000036</c:v>
                </c:pt>
                <c:pt idx="6">
                  <c:v>8.8000000000000043</c:v>
                </c:pt>
                <c:pt idx="7">
                  <c:v>8.600000000000005</c:v>
                </c:pt>
                <c:pt idx="8">
                  <c:v>8.4000000000000057</c:v>
                </c:pt>
                <c:pt idx="9">
                  <c:v>8.2000000000000064</c:v>
                </c:pt>
                <c:pt idx="10">
                  <c:v>8.0000000000000071</c:v>
                </c:pt>
                <c:pt idx="11">
                  <c:v>7.8000000000000069</c:v>
                </c:pt>
                <c:pt idx="12">
                  <c:v>7.6000000000000068</c:v>
                </c:pt>
                <c:pt idx="13">
                  <c:v>7.4000000000000066</c:v>
                </c:pt>
                <c:pt idx="14">
                  <c:v>7.2000000000000064</c:v>
                </c:pt>
                <c:pt idx="15">
                  <c:v>7.0000000000000062</c:v>
                </c:pt>
                <c:pt idx="16">
                  <c:v>6.800000000000006</c:v>
                </c:pt>
                <c:pt idx="17">
                  <c:v>6.6000000000000059</c:v>
                </c:pt>
                <c:pt idx="18">
                  <c:v>6.4000000000000057</c:v>
                </c:pt>
                <c:pt idx="19">
                  <c:v>6.2000000000000055</c:v>
                </c:pt>
                <c:pt idx="20">
                  <c:v>6.0000000000000053</c:v>
                </c:pt>
                <c:pt idx="21">
                  <c:v>5.8000000000000052</c:v>
                </c:pt>
                <c:pt idx="22">
                  <c:v>5.600000000000005</c:v>
                </c:pt>
                <c:pt idx="23">
                  <c:v>5.4000000000000048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964096"/>
        <c:axId val="150966656"/>
      </c:scatterChart>
      <c:valAx>
        <c:axId val="150964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Episode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966656"/>
        <c:crosses val="autoZero"/>
        <c:crossBetween val="midCat"/>
      </c:valAx>
      <c:valAx>
        <c:axId val="1509666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Viewers (Millions)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964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571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Modern Family Viewership</a:t>
            </a:r>
            <a:r>
              <a:rPr lang="en-US" sz="1800" baseline="0"/>
              <a:t> - Season 1-7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132180198786627"/>
          <c:y val="9.443668347793592E-2"/>
          <c:w val="0.84269459145475667"/>
          <c:h val="0.78825359007073881"/>
        </c:manualLayout>
      </c:layout>
      <c:scatterChart>
        <c:scatterStyle val="smoothMarker"/>
        <c:varyColors val="0"/>
        <c:ser>
          <c:idx val="0"/>
          <c:order val="0"/>
          <c:tx>
            <c:v>Season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5875">
                <a:solidFill>
                  <a:schemeClr val="accent1"/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Family'!$T$15:$T$38</c:f>
              <c:numCache>
                <c:formatCode>0.00</c:formatCode>
                <c:ptCount val="24"/>
                <c:pt idx="0">
                  <c:v>12.6</c:v>
                </c:pt>
                <c:pt idx="1">
                  <c:v>9.99</c:v>
                </c:pt>
                <c:pt idx="2">
                  <c:v>8.82</c:v>
                </c:pt>
                <c:pt idx="3">
                  <c:v>9.35</c:v>
                </c:pt>
                <c:pt idx="4">
                  <c:v>8.66</c:v>
                </c:pt>
                <c:pt idx="5">
                  <c:v>9.32</c:v>
                </c:pt>
                <c:pt idx="6">
                  <c:v>8.77</c:v>
                </c:pt>
                <c:pt idx="7">
                  <c:v>9.16</c:v>
                </c:pt>
                <c:pt idx="8">
                  <c:v>7.12</c:v>
                </c:pt>
                <c:pt idx="9">
                  <c:v>9.67</c:v>
                </c:pt>
                <c:pt idx="10">
                  <c:v>10.220000000000001</c:v>
                </c:pt>
                <c:pt idx="11">
                  <c:v>7.83</c:v>
                </c:pt>
                <c:pt idx="12">
                  <c:v>9.83</c:v>
                </c:pt>
                <c:pt idx="13">
                  <c:v>9.19</c:v>
                </c:pt>
                <c:pt idx="14">
                  <c:v>9.84</c:v>
                </c:pt>
                <c:pt idx="15">
                  <c:v>8.01</c:v>
                </c:pt>
                <c:pt idx="16">
                  <c:v>8.9499999999999993</c:v>
                </c:pt>
                <c:pt idx="17">
                  <c:v>9.18</c:v>
                </c:pt>
                <c:pt idx="18">
                  <c:v>9.51</c:v>
                </c:pt>
                <c:pt idx="19">
                  <c:v>8.8800000000000008</c:v>
                </c:pt>
                <c:pt idx="20">
                  <c:v>10.01</c:v>
                </c:pt>
                <c:pt idx="21">
                  <c:v>9.48</c:v>
                </c:pt>
                <c:pt idx="22">
                  <c:v>10.34</c:v>
                </c:pt>
                <c:pt idx="23">
                  <c:v>10.14</c:v>
                </c:pt>
              </c:numCache>
            </c:numRef>
          </c:yVal>
          <c:smooth val="1"/>
        </c:ser>
        <c:ser>
          <c:idx val="1"/>
          <c:order val="1"/>
          <c:tx>
            <c:v>Season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5875">
                <a:solidFill>
                  <a:schemeClr val="accent2"/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Family'!$U$15:$U$38</c:f>
              <c:numCache>
                <c:formatCode>0.00</c:formatCode>
                <c:ptCount val="24"/>
                <c:pt idx="0">
                  <c:v>12.67</c:v>
                </c:pt>
                <c:pt idx="1">
                  <c:v>11.92</c:v>
                </c:pt>
                <c:pt idx="2">
                  <c:v>11.44</c:v>
                </c:pt>
                <c:pt idx="3">
                  <c:v>11.45</c:v>
                </c:pt>
                <c:pt idx="4">
                  <c:v>11.97</c:v>
                </c:pt>
                <c:pt idx="5">
                  <c:v>13.14</c:v>
                </c:pt>
                <c:pt idx="6">
                  <c:v>12.24</c:v>
                </c:pt>
                <c:pt idx="7">
                  <c:v>12.09</c:v>
                </c:pt>
                <c:pt idx="8">
                  <c:v>10.57</c:v>
                </c:pt>
                <c:pt idx="9">
                  <c:v>11.07</c:v>
                </c:pt>
                <c:pt idx="10">
                  <c:v>11.83</c:v>
                </c:pt>
                <c:pt idx="11">
                  <c:v>11.12</c:v>
                </c:pt>
                <c:pt idx="12">
                  <c:v>10.98</c:v>
                </c:pt>
                <c:pt idx="13">
                  <c:v>13.16</c:v>
                </c:pt>
                <c:pt idx="14">
                  <c:v>10.57</c:v>
                </c:pt>
                <c:pt idx="15">
                  <c:v>10.17</c:v>
                </c:pt>
                <c:pt idx="16">
                  <c:v>10.11</c:v>
                </c:pt>
                <c:pt idx="17">
                  <c:v>10.9</c:v>
                </c:pt>
                <c:pt idx="18">
                  <c:v>9.61</c:v>
                </c:pt>
                <c:pt idx="19">
                  <c:v>9.9499999999999993</c:v>
                </c:pt>
                <c:pt idx="20">
                  <c:v>9.9</c:v>
                </c:pt>
                <c:pt idx="21">
                  <c:v>10.15</c:v>
                </c:pt>
                <c:pt idx="22">
                  <c:v>10.3</c:v>
                </c:pt>
                <c:pt idx="23">
                  <c:v>10.31</c:v>
                </c:pt>
              </c:numCache>
            </c:numRef>
          </c:yVal>
          <c:smooth val="1"/>
        </c:ser>
        <c:ser>
          <c:idx val="2"/>
          <c:order val="2"/>
          <c:tx>
            <c:v>Season 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Family'!$V$15:$V$38</c:f>
              <c:numCache>
                <c:formatCode>0.00</c:formatCode>
                <c:ptCount val="24"/>
                <c:pt idx="0">
                  <c:v>14.52</c:v>
                </c:pt>
                <c:pt idx="1">
                  <c:v>14.54</c:v>
                </c:pt>
                <c:pt idx="2">
                  <c:v>13.45</c:v>
                </c:pt>
                <c:pt idx="3">
                  <c:v>13.24</c:v>
                </c:pt>
                <c:pt idx="4">
                  <c:v>13.65</c:v>
                </c:pt>
                <c:pt idx="5">
                  <c:v>13.04</c:v>
                </c:pt>
                <c:pt idx="6">
                  <c:v>13.37</c:v>
                </c:pt>
                <c:pt idx="7">
                  <c:v>12.91</c:v>
                </c:pt>
                <c:pt idx="8">
                  <c:v>12.72</c:v>
                </c:pt>
                <c:pt idx="9">
                  <c:v>12.2</c:v>
                </c:pt>
                <c:pt idx="10">
                  <c:v>14.03</c:v>
                </c:pt>
                <c:pt idx="11">
                  <c:v>12.12</c:v>
                </c:pt>
                <c:pt idx="12">
                  <c:v>11.89</c:v>
                </c:pt>
                <c:pt idx="13">
                  <c:v>12.9</c:v>
                </c:pt>
                <c:pt idx="14">
                  <c:v>11.23</c:v>
                </c:pt>
                <c:pt idx="15">
                  <c:v>11.54</c:v>
                </c:pt>
                <c:pt idx="16">
                  <c:v>11.63</c:v>
                </c:pt>
                <c:pt idx="17">
                  <c:v>10.6</c:v>
                </c:pt>
                <c:pt idx="18">
                  <c:v>10.35</c:v>
                </c:pt>
                <c:pt idx="19">
                  <c:v>10.210000000000001</c:v>
                </c:pt>
                <c:pt idx="20">
                  <c:v>10.06</c:v>
                </c:pt>
                <c:pt idx="21">
                  <c:v>10.58</c:v>
                </c:pt>
                <c:pt idx="22">
                  <c:v>9.36</c:v>
                </c:pt>
                <c:pt idx="23">
                  <c:v>10.07</c:v>
                </c:pt>
              </c:numCache>
            </c:numRef>
          </c:yVal>
          <c:smooth val="1"/>
        </c:ser>
        <c:ser>
          <c:idx val="3"/>
          <c:order val="3"/>
          <c:tx>
            <c:v>Season 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15875">
                <a:solidFill>
                  <a:schemeClr val="accent4"/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Family'!$W$15:$W$38</c:f>
              <c:numCache>
                <c:formatCode>0.00</c:formatCode>
                <c:ptCount val="24"/>
                <c:pt idx="0">
                  <c:v>14.44</c:v>
                </c:pt>
                <c:pt idx="1">
                  <c:v>12.08</c:v>
                </c:pt>
                <c:pt idx="2">
                  <c:v>12.31</c:v>
                </c:pt>
                <c:pt idx="3">
                  <c:v>12.28</c:v>
                </c:pt>
                <c:pt idx="4">
                  <c:v>12.52</c:v>
                </c:pt>
                <c:pt idx="5">
                  <c:v>10.62</c:v>
                </c:pt>
                <c:pt idx="6">
                  <c:v>12.43</c:v>
                </c:pt>
                <c:pt idx="7">
                  <c:v>11.89</c:v>
                </c:pt>
                <c:pt idx="8">
                  <c:v>12.01</c:v>
                </c:pt>
                <c:pt idx="9">
                  <c:v>10.94</c:v>
                </c:pt>
                <c:pt idx="10">
                  <c:v>12.04</c:v>
                </c:pt>
                <c:pt idx="11">
                  <c:v>11.01</c:v>
                </c:pt>
                <c:pt idx="12">
                  <c:v>10.83</c:v>
                </c:pt>
                <c:pt idx="13">
                  <c:v>9.83</c:v>
                </c:pt>
                <c:pt idx="14">
                  <c:v>10.050000000000001</c:v>
                </c:pt>
                <c:pt idx="15">
                  <c:v>10.62</c:v>
                </c:pt>
                <c:pt idx="16">
                  <c:v>10.53</c:v>
                </c:pt>
                <c:pt idx="17">
                  <c:v>9.09</c:v>
                </c:pt>
                <c:pt idx="18">
                  <c:v>10.88</c:v>
                </c:pt>
                <c:pt idx="19">
                  <c:v>10.38</c:v>
                </c:pt>
                <c:pt idx="20">
                  <c:v>9.64</c:v>
                </c:pt>
                <c:pt idx="21">
                  <c:v>9.02</c:v>
                </c:pt>
                <c:pt idx="22">
                  <c:v>10.029999999999999</c:v>
                </c:pt>
                <c:pt idx="23">
                  <c:v>10.01</c:v>
                </c:pt>
              </c:numCache>
            </c:numRef>
          </c:yVal>
          <c:smooth val="1"/>
        </c:ser>
        <c:ser>
          <c:idx val="4"/>
          <c:order val="4"/>
          <c:tx>
            <c:v>Season 5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15875">
                <a:solidFill>
                  <a:schemeClr val="accent5"/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Family'!$X$15:$X$38</c:f>
              <c:numCache>
                <c:formatCode>0.00</c:formatCode>
                <c:ptCount val="24"/>
                <c:pt idx="0">
                  <c:v>11.71</c:v>
                </c:pt>
                <c:pt idx="1">
                  <c:v>11.65</c:v>
                </c:pt>
                <c:pt idx="2">
                  <c:v>11.12</c:v>
                </c:pt>
                <c:pt idx="3">
                  <c:v>10.64</c:v>
                </c:pt>
                <c:pt idx="4">
                  <c:v>10.94</c:v>
                </c:pt>
                <c:pt idx="5">
                  <c:v>10.32</c:v>
                </c:pt>
                <c:pt idx="6">
                  <c:v>10.75</c:v>
                </c:pt>
                <c:pt idx="7">
                  <c:v>10.19</c:v>
                </c:pt>
                <c:pt idx="8">
                  <c:v>9.4700000000000006</c:v>
                </c:pt>
                <c:pt idx="9">
                  <c:v>10.61</c:v>
                </c:pt>
                <c:pt idx="10">
                  <c:v>9.51</c:v>
                </c:pt>
                <c:pt idx="11">
                  <c:v>9.14</c:v>
                </c:pt>
                <c:pt idx="12">
                  <c:v>9.59</c:v>
                </c:pt>
                <c:pt idx="13">
                  <c:v>9.8699999999999992</c:v>
                </c:pt>
                <c:pt idx="14">
                  <c:v>8.52</c:v>
                </c:pt>
                <c:pt idx="15">
                  <c:v>9.2200000000000006</c:v>
                </c:pt>
                <c:pt idx="16">
                  <c:v>9.39</c:v>
                </c:pt>
                <c:pt idx="17">
                  <c:v>10.09</c:v>
                </c:pt>
                <c:pt idx="18">
                  <c:v>9</c:v>
                </c:pt>
                <c:pt idx="19">
                  <c:v>9.59</c:v>
                </c:pt>
                <c:pt idx="20">
                  <c:v>8.39</c:v>
                </c:pt>
                <c:pt idx="21">
                  <c:v>8.5500000000000007</c:v>
                </c:pt>
                <c:pt idx="22">
                  <c:v>9.08</c:v>
                </c:pt>
                <c:pt idx="23">
                  <c:v>10.45</c:v>
                </c:pt>
              </c:numCache>
            </c:numRef>
          </c:yVal>
          <c:smooth val="1"/>
        </c:ser>
        <c:ser>
          <c:idx val="5"/>
          <c:order val="5"/>
          <c:tx>
            <c:v>Season 6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5875">
                <a:solidFill>
                  <a:schemeClr val="accent6"/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Family'!$Y$15:$Y$38</c:f>
              <c:numCache>
                <c:formatCode>0.00</c:formatCode>
                <c:ptCount val="24"/>
                <c:pt idx="0">
                  <c:v>11.38</c:v>
                </c:pt>
                <c:pt idx="1">
                  <c:v>10.56</c:v>
                </c:pt>
                <c:pt idx="2">
                  <c:v>10.3</c:v>
                </c:pt>
                <c:pt idx="3">
                  <c:v>9.7100000000000009</c:v>
                </c:pt>
                <c:pt idx="4">
                  <c:v>10.16</c:v>
                </c:pt>
                <c:pt idx="5">
                  <c:v>9.92</c:v>
                </c:pt>
                <c:pt idx="6">
                  <c:v>9.83</c:v>
                </c:pt>
                <c:pt idx="7">
                  <c:v>10.88</c:v>
                </c:pt>
                <c:pt idx="8">
                  <c:v>9.02</c:v>
                </c:pt>
                <c:pt idx="9">
                  <c:v>9.69</c:v>
                </c:pt>
                <c:pt idx="10">
                  <c:v>9.2899999999999991</c:v>
                </c:pt>
                <c:pt idx="11">
                  <c:v>9.44</c:v>
                </c:pt>
                <c:pt idx="12">
                  <c:v>9.8699999999999992</c:v>
                </c:pt>
                <c:pt idx="13">
                  <c:v>9.77</c:v>
                </c:pt>
                <c:pt idx="14">
                  <c:v>8.8000000000000007</c:v>
                </c:pt>
                <c:pt idx="15">
                  <c:v>9.32</c:v>
                </c:pt>
                <c:pt idx="16">
                  <c:v>9.61</c:v>
                </c:pt>
                <c:pt idx="17">
                  <c:v>8.7100000000000009</c:v>
                </c:pt>
                <c:pt idx="18">
                  <c:v>9.43</c:v>
                </c:pt>
                <c:pt idx="19">
                  <c:v>8.85</c:v>
                </c:pt>
                <c:pt idx="20">
                  <c:v>8</c:v>
                </c:pt>
                <c:pt idx="21">
                  <c:v>8.57</c:v>
                </c:pt>
                <c:pt idx="22">
                  <c:v>8.1300000000000008</c:v>
                </c:pt>
                <c:pt idx="23">
                  <c:v>7.2</c:v>
                </c:pt>
              </c:numCache>
            </c:numRef>
          </c:yVal>
          <c:smooth val="1"/>
        </c:ser>
        <c:ser>
          <c:idx val="6"/>
          <c:order val="6"/>
          <c:tx>
            <c:v>Season 7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1587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Family'!$Z$15:$Z$38</c:f>
              <c:numCache>
                <c:formatCode>0.00</c:formatCode>
                <c:ptCount val="24"/>
                <c:pt idx="0">
                  <c:v>9.4600000000000009</c:v>
                </c:pt>
                <c:pt idx="1">
                  <c:v>8.7200000000000006</c:v>
                </c:pt>
                <c:pt idx="2">
                  <c:v>7.99</c:v>
                </c:pt>
                <c:pt idx="3">
                  <c:v>7.88</c:v>
                </c:pt>
                <c:pt idx="4">
                  <c:v>7.8</c:v>
                </c:pt>
                <c:pt idx="5">
                  <c:v>8.15</c:v>
                </c:pt>
                <c:pt idx="6">
                  <c:v>8.3800000000000008</c:v>
                </c:pt>
                <c:pt idx="7">
                  <c:v>7.35</c:v>
                </c:pt>
                <c:pt idx="8">
                  <c:v>8.1999999999999993</c:v>
                </c:pt>
                <c:pt idx="9">
                  <c:v>8.35</c:v>
                </c:pt>
                <c:pt idx="10">
                  <c:v>8.17</c:v>
                </c:pt>
                <c:pt idx="11">
                  <c:v>7.8</c:v>
                </c:pt>
                <c:pt idx="12">
                  <c:v>7.48</c:v>
                </c:pt>
                <c:pt idx="13">
                  <c:v>8.1</c:v>
                </c:pt>
                <c:pt idx="14">
                  <c:v>8.2200000000000006</c:v>
                </c:pt>
                <c:pt idx="15">
                  <c:v>8.14</c:v>
                </c:pt>
                <c:pt idx="16">
                  <c:v>7.69</c:v>
                </c:pt>
                <c:pt idx="17">
                  <c:v>7.51</c:v>
                </c:pt>
                <c:pt idx="18">
                  <c:v>7.44</c:v>
                </c:pt>
                <c:pt idx="19">
                  <c:v>7.42</c:v>
                </c:pt>
                <c:pt idx="20">
                  <c:v>7.16</c:v>
                </c:pt>
                <c:pt idx="21">
                  <c:v>6.79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062784"/>
        <c:axId val="151077632"/>
      </c:scatterChart>
      <c:valAx>
        <c:axId val="151062784"/>
        <c:scaling>
          <c:orientation val="minMax"/>
          <c:max val="2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Episode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77632"/>
        <c:crosses val="autoZero"/>
        <c:crossBetween val="midCat"/>
      </c:valAx>
      <c:valAx>
        <c:axId val="1510776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Number Of Viewers (Millions)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62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650283980895832"/>
          <c:y val="0.517777335821476"/>
          <c:w val="0.15032819155802243"/>
          <c:h val="0.36543560006126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571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Modern Family Viewership</a:t>
            </a:r>
            <a:r>
              <a:rPr lang="en-US" sz="1800" baseline="0"/>
              <a:t> - Season 1-7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132180198786627"/>
          <c:y val="9.443668347793592E-2"/>
          <c:w val="0.84269459145475667"/>
          <c:h val="0.78825359007073881"/>
        </c:manualLayout>
      </c:layout>
      <c:scatterChart>
        <c:scatterStyle val="smoothMarker"/>
        <c:varyColors val="0"/>
        <c:ser>
          <c:idx val="0"/>
          <c:order val="0"/>
          <c:tx>
            <c:v>Season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5875">
                <a:solidFill>
                  <a:schemeClr val="accent1"/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Family'!$T$15:$T$38</c:f>
              <c:numCache>
                <c:formatCode>0.00</c:formatCode>
                <c:ptCount val="24"/>
                <c:pt idx="0">
                  <c:v>12.6</c:v>
                </c:pt>
                <c:pt idx="1">
                  <c:v>9.99</c:v>
                </c:pt>
                <c:pt idx="2">
                  <c:v>8.82</c:v>
                </c:pt>
                <c:pt idx="3">
                  <c:v>9.35</c:v>
                </c:pt>
                <c:pt idx="4">
                  <c:v>8.66</c:v>
                </c:pt>
                <c:pt idx="5">
                  <c:v>9.32</c:v>
                </c:pt>
                <c:pt idx="6">
                  <c:v>8.77</c:v>
                </c:pt>
                <c:pt idx="7">
                  <c:v>9.16</c:v>
                </c:pt>
                <c:pt idx="8">
                  <c:v>7.12</c:v>
                </c:pt>
                <c:pt idx="9">
                  <c:v>9.67</c:v>
                </c:pt>
                <c:pt idx="10">
                  <c:v>10.220000000000001</c:v>
                </c:pt>
                <c:pt idx="11">
                  <c:v>7.83</c:v>
                </c:pt>
                <c:pt idx="12">
                  <c:v>9.83</c:v>
                </c:pt>
                <c:pt idx="13">
                  <c:v>9.19</c:v>
                </c:pt>
                <c:pt idx="14">
                  <c:v>9.84</c:v>
                </c:pt>
                <c:pt idx="15">
                  <c:v>8.01</c:v>
                </c:pt>
                <c:pt idx="16">
                  <c:v>8.9499999999999993</c:v>
                </c:pt>
                <c:pt idx="17">
                  <c:v>9.18</c:v>
                </c:pt>
                <c:pt idx="18">
                  <c:v>9.51</c:v>
                </c:pt>
                <c:pt idx="19">
                  <c:v>8.8800000000000008</c:v>
                </c:pt>
                <c:pt idx="20">
                  <c:v>10.01</c:v>
                </c:pt>
                <c:pt idx="21">
                  <c:v>9.48</c:v>
                </c:pt>
                <c:pt idx="22">
                  <c:v>10.34</c:v>
                </c:pt>
                <c:pt idx="23">
                  <c:v>10.14</c:v>
                </c:pt>
              </c:numCache>
            </c:numRef>
          </c:yVal>
          <c:smooth val="1"/>
        </c:ser>
        <c:ser>
          <c:idx val="1"/>
          <c:order val="1"/>
          <c:tx>
            <c:v>Season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5875">
                <a:solidFill>
                  <a:schemeClr val="accent2"/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Family'!$U$15:$U$38</c:f>
              <c:numCache>
                <c:formatCode>0.00</c:formatCode>
                <c:ptCount val="24"/>
                <c:pt idx="0">
                  <c:v>12.67</c:v>
                </c:pt>
                <c:pt idx="1">
                  <c:v>11.92</c:v>
                </c:pt>
                <c:pt idx="2">
                  <c:v>11.44</c:v>
                </c:pt>
                <c:pt idx="3">
                  <c:v>11.45</c:v>
                </c:pt>
                <c:pt idx="4">
                  <c:v>11.97</c:v>
                </c:pt>
                <c:pt idx="5">
                  <c:v>13.14</c:v>
                </c:pt>
                <c:pt idx="6">
                  <c:v>12.24</c:v>
                </c:pt>
                <c:pt idx="7">
                  <c:v>12.09</c:v>
                </c:pt>
                <c:pt idx="8">
                  <c:v>10.57</c:v>
                </c:pt>
                <c:pt idx="9">
                  <c:v>11.07</c:v>
                </c:pt>
                <c:pt idx="10">
                  <c:v>11.83</c:v>
                </c:pt>
                <c:pt idx="11">
                  <c:v>11.12</c:v>
                </c:pt>
                <c:pt idx="12">
                  <c:v>10.98</c:v>
                </c:pt>
                <c:pt idx="13">
                  <c:v>13.16</c:v>
                </c:pt>
                <c:pt idx="14">
                  <c:v>10.57</c:v>
                </c:pt>
                <c:pt idx="15">
                  <c:v>10.17</c:v>
                </c:pt>
                <c:pt idx="16">
                  <c:v>10.11</c:v>
                </c:pt>
                <c:pt idx="17">
                  <c:v>10.9</c:v>
                </c:pt>
                <c:pt idx="18">
                  <c:v>9.61</c:v>
                </c:pt>
                <c:pt idx="19">
                  <c:v>9.9499999999999993</c:v>
                </c:pt>
                <c:pt idx="20">
                  <c:v>9.9</c:v>
                </c:pt>
                <c:pt idx="21">
                  <c:v>10.15</c:v>
                </c:pt>
                <c:pt idx="22">
                  <c:v>10.3</c:v>
                </c:pt>
                <c:pt idx="23">
                  <c:v>10.31</c:v>
                </c:pt>
              </c:numCache>
            </c:numRef>
          </c:yVal>
          <c:smooth val="1"/>
        </c:ser>
        <c:ser>
          <c:idx val="2"/>
          <c:order val="2"/>
          <c:tx>
            <c:v>Season 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Family'!$V$15:$V$38</c:f>
              <c:numCache>
                <c:formatCode>0.00</c:formatCode>
                <c:ptCount val="24"/>
                <c:pt idx="0">
                  <c:v>14.52</c:v>
                </c:pt>
                <c:pt idx="1">
                  <c:v>14.54</c:v>
                </c:pt>
                <c:pt idx="2">
                  <c:v>13.45</c:v>
                </c:pt>
                <c:pt idx="3">
                  <c:v>13.24</c:v>
                </c:pt>
                <c:pt idx="4">
                  <c:v>13.65</c:v>
                </c:pt>
                <c:pt idx="5">
                  <c:v>13.04</c:v>
                </c:pt>
                <c:pt idx="6">
                  <c:v>13.37</c:v>
                </c:pt>
                <c:pt idx="7">
                  <c:v>12.91</c:v>
                </c:pt>
                <c:pt idx="8">
                  <c:v>12.72</c:v>
                </c:pt>
                <c:pt idx="9">
                  <c:v>12.2</c:v>
                </c:pt>
                <c:pt idx="10">
                  <c:v>14.03</c:v>
                </c:pt>
                <c:pt idx="11">
                  <c:v>12.12</c:v>
                </c:pt>
                <c:pt idx="12">
                  <c:v>11.89</c:v>
                </c:pt>
                <c:pt idx="13">
                  <c:v>12.9</c:v>
                </c:pt>
                <c:pt idx="14">
                  <c:v>11.23</c:v>
                </c:pt>
                <c:pt idx="15">
                  <c:v>11.54</c:v>
                </c:pt>
                <c:pt idx="16">
                  <c:v>11.63</c:v>
                </c:pt>
                <c:pt idx="17">
                  <c:v>10.6</c:v>
                </c:pt>
                <c:pt idx="18">
                  <c:v>10.35</c:v>
                </c:pt>
                <c:pt idx="19">
                  <c:v>10.210000000000001</c:v>
                </c:pt>
                <c:pt idx="20">
                  <c:v>10.06</c:v>
                </c:pt>
                <c:pt idx="21">
                  <c:v>10.58</c:v>
                </c:pt>
                <c:pt idx="22">
                  <c:v>9.36</c:v>
                </c:pt>
                <c:pt idx="23">
                  <c:v>10.07</c:v>
                </c:pt>
              </c:numCache>
            </c:numRef>
          </c:yVal>
          <c:smooth val="1"/>
        </c:ser>
        <c:ser>
          <c:idx val="3"/>
          <c:order val="3"/>
          <c:tx>
            <c:v>Season 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15875">
                <a:solidFill>
                  <a:schemeClr val="accent4"/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Family'!$W$15:$W$38</c:f>
              <c:numCache>
                <c:formatCode>0.00</c:formatCode>
                <c:ptCount val="24"/>
                <c:pt idx="0">
                  <c:v>14.44</c:v>
                </c:pt>
                <c:pt idx="1">
                  <c:v>12.08</c:v>
                </c:pt>
                <c:pt idx="2">
                  <c:v>12.31</c:v>
                </c:pt>
                <c:pt idx="3">
                  <c:v>12.28</c:v>
                </c:pt>
                <c:pt idx="4">
                  <c:v>12.52</c:v>
                </c:pt>
                <c:pt idx="5">
                  <c:v>10.62</c:v>
                </c:pt>
                <c:pt idx="6">
                  <c:v>12.43</c:v>
                </c:pt>
                <c:pt idx="7">
                  <c:v>11.89</c:v>
                </c:pt>
                <c:pt idx="8">
                  <c:v>12.01</c:v>
                </c:pt>
                <c:pt idx="9">
                  <c:v>10.94</c:v>
                </c:pt>
                <c:pt idx="10">
                  <c:v>12.04</c:v>
                </c:pt>
                <c:pt idx="11">
                  <c:v>11.01</c:v>
                </c:pt>
                <c:pt idx="12">
                  <c:v>10.83</c:v>
                </c:pt>
                <c:pt idx="13">
                  <c:v>9.83</c:v>
                </c:pt>
                <c:pt idx="14">
                  <c:v>10.050000000000001</c:v>
                </c:pt>
                <c:pt idx="15">
                  <c:v>10.62</c:v>
                </c:pt>
                <c:pt idx="16">
                  <c:v>10.53</c:v>
                </c:pt>
                <c:pt idx="17">
                  <c:v>9.09</c:v>
                </c:pt>
                <c:pt idx="18">
                  <c:v>10.88</c:v>
                </c:pt>
                <c:pt idx="19">
                  <c:v>10.38</c:v>
                </c:pt>
                <c:pt idx="20">
                  <c:v>9.64</c:v>
                </c:pt>
                <c:pt idx="21">
                  <c:v>9.02</c:v>
                </c:pt>
                <c:pt idx="22">
                  <c:v>10.029999999999999</c:v>
                </c:pt>
                <c:pt idx="23">
                  <c:v>10.01</c:v>
                </c:pt>
              </c:numCache>
            </c:numRef>
          </c:yVal>
          <c:smooth val="1"/>
        </c:ser>
        <c:ser>
          <c:idx val="4"/>
          <c:order val="4"/>
          <c:tx>
            <c:v>Season 5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15875">
                <a:solidFill>
                  <a:schemeClr val="accent5"/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Family'!$X$15:$X$38</c:f>
              <c:numCache>
                <c:formatCode>0.00</c:formatCode>
                <c:ptCount val="24"/>
                <c:pt idx="0">
                  <c:v>11.71</c:v>
                </c:pt>
                <c:pt idx="1">
                  <c:v>11.65</c:v>
                </c:pt>
                <c:pt idx="2">
                  <c:v>11.12</c:v>
                </c:pt>
                <c:pt idx="3">
                  <c:v>10.64</c:v>
                </c:pt>
                <c:pt idx="4">
                  <c:v>10.94</c:v>
                </c:pt>
                <c:pt idx="5">
                  <c:v>10.32</c:v>
                </c:pt>
                <c:pt idx="6">
                  <c:v>10.75</c:v>
                </c:pt>
                <c:pt idx="7">
                  <c:v>10.19</c:v>
                </c:pt>
                <c:pt idx="8">
                  <c:v>9.4700000000000006</c:v>
                </c:pt>
                <c:pt idx="9">
                  <c:v>10.61</c:v>
                </c:pt>
                <c:pt idx="10">
                  <c:v>9.51</c:v>
                </c:pt>
                <c:pt idx="11">
                  <c:v>9.14</c:v>
                </c:pt>
                <c:pt idx="12">
                  <c:v>9.59</c:v>
                </c:pt>
                <c:pt idx="13">
                  <c:v>9.8699999999999992</c:v>
                </c:pt>
                <c:pt idx="14">
                  <c:v>8.52</c:v>
                </c:pt>
                <c:pt idx="15">
                  <c:v>9.2200000000000006</c:v>
                </c:pt>
                <c:pt idx="16">
                  <c:v>9.39</c:v>
                </c:pt>
                <c:pt idx="17">
                  <c:v>10.09</c:v>
                </c:pt>
                <c:pt idx="18">
                  <c:v>9</c:v>
                </c:pt>
                <c:pt idx="19">
                  <c:v>9.59</c:v>
                </c:pt>
                <c:pt idx="20">
                  <c:v>8.39</c:v>
                </c:pt>
                <c:pt idx="21">
                  <c:v>8.5500000000000007</c:v>
                </c:pt>
                <c:pt idx="22">
                  <c:v>9.08</c:v>
                </c:pt>
                <c:pt idx="23">
                  <c:v>10.45</c:v>
                </c:pt>
              </c:numCache>
            </c:numRef>
          </c:yVal>
          <c:smooth val="1"/>
        </c:ser>
        <c:ser>
          <c:idx val="5"/>
          <c:order val="5"/>
          <c:tx>
            <c:v>Season 6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5875">
                <a:solidFill>
                  <a:schemeClr val="accent6"/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Family'!$Y$15:$Y$38</c:f>
              <c:numCache>
                <c:formatCode>0.00</c:formatCode>
                <c:ptCount val="24"/>
                <c:pt idx="0">
                  <c:v>11.38</c:v>
                </c:pt>
                <c:pt idx="1">
                  <c:v>10.56</c:v>
                </c:pt>
                <c:pt idx="2">
                  <c:v>10.3</c:v>
                </c:pt>
                <c:pt idx="3">
                  <c:v>9.7100000000000009</c:v>
                </c:pt>
                <c:pt idx="4">
                  <c:v>10.16</c:v>
                </c:pt>
                <c:pt idx="5">
                  <c:v>9.92</c:v>
                </c:pt>
                <c:pt idx="6">
                  <c:v>9.83</c:v>
                </c:pt>
                <c:pt idx="7">
                  <c:v>10.88</c:v>
                </c:pt>
                <c:pt idx="8">
                  <c:v>9.02</c:v>
                </c:pt>
                <c:pt idx="9">
                  <c:v>9.69</c:v>
                </c:pt>
                <c:pt idx="10">
                  <c:v>9.2899999999999991</c:v>
                </c:pt>
                <c:pt idx="11">
                  <c:v>9.44</c:v>
                </c:pt>
                <c:pt idx="12">
                  <c:v>9.8699999999999992</c:v>
                </c:pt>
                <c:pt idx="13">
                  <c:v>9.77</c:v>
                </c:pt>
                <c:pt idx="14">
                  <c:v>8.8000000000000007</c:v>
                </c:pt>
                <c:pt idx="15">
                  <c:v>9.32</c:v>
                </c:pt>
                <c:pt idx="16">
                  <c:v>9.61</c:v>
                </c:pt>
                <c:pt idx="17">
                  <c:v>8.7100000000000009</c:v>
                </c:pt>
                <c:pt idx="18">
                  <c:v>9.43</c:v>
                </c:pt>
                <c:pt idx="19">
                  <c:v>8.85</c:v>
                </c:pt>
                <c:pt idx="20">
                  <c:v>8</c:v>
                </c:pt>
                <c:pt idx="21">
                  <c:v>8.57</c:v>
                </c:pt>
                <c:pt idx="22">
                  <c:v>8.1300000000000008</c:v>
                </c:pt>
                <c:pt idx="23">
                  <c:v>7.2</c:v>
                </c:pt>
              </c:numCache>
            </c:numRef>
          </c:yVal>
          <c:smooth val="1"/>
        </c:ser>
        <c:ser>
          <c:idx val="6"/>
          <c:order val="6"/>
          <c:tx>
            <c:v>Season 7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1587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Family'!$Z$15:$Z$38</c:f>
              <c:numCache>
                <c:formatCode>0.00</c:formatCode>
                <c:ptCount val="24"/>
                <c:pt idx="0">
                  <c:v>9.4600000000000009</c:v>
                </c:pt>
                <c:pt idx="1">
                  <c:v>8.7200000000000006</c:v>
                </c:pt>
                <c:pt idx="2">
                  <c:v>7.99</c:v>
                </c:pt>
                <c:pt idx="3">
                  <c:v>7.88</c:v>
                </c:pt>
                <c:pt idx="4">
                  <c:v>7.8</c:v>
                </c:pt>
                <c:pt idx="5">
                  <c:v>8.15</c:v>
                </c:pt>
                <c:pt idx="6">
                  <c:v>8.3800000000000008</c:v>
                </c:pt>
                <c:pt idx="7">
                  <c:v>7.35</c:v>
                </c:pt>
                <c:pt idx="8">
                  <c:v>8.1999999999999993</c:v>
                </c:pt>
                <c:pt idx="9">
                  <c:v>8.35</c:v>
                </c:pt>
                <c:pt idx="10">
                  <c:v>8.17</c:v>
                </c:pt>
                <c:pt idx="11">
                  <c:v>7.8</c:v>
                </c:pt>
                <c:pt idx="12">
                  <c:v>7.48</c:v>
                </c:pt>
                <c:pt idx="13">
                  <c:v>8.1</c:v>
                </c:pt>
                <c:pt idx="14">
                  <c:v>8.2200000000000006</c:v>
                </c:pt>
                <c:pt idx="15">
                  <c:v>8.14</c:v>
                </c:pt>
                <c:pt idx="16">
                  <c:v>7.69</c:v>
                </c:pt>
                <c:pt idx="17">
                  <c:v>7.51</c:v>
                </c:pt>
                <c:pt idx="18">
                  <c:v>7.44</c:v>
                </c:pt>
                <c:pt idx="19">
                  <c:v>7.42</c:v>
                </c:pt>
                <c:pt idx="20">
                  <c:v>7.16</c:v>
                </c:pt>
                <c:pt idx="21">
                  <c:v>6.79</c:v>
                </c:pt>
              </c:numCache>
            </c:numRef>
          </c:yVal>
          <c:smooth val="1"/>
        </c:ser>
        <c:ser>
          <c:idx val="7"/>
          <c:order val="7"/>
          <c:tx>
            <c:v>All Seasons</c:v>
          </c:tx>
          <c:spPr>
            <a:ln>
              <a:noFill/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trendline>
            <c:spPr>
              <a:ln w="111125">
                <a:solidFill>
                  <a:schemeClr val="tx1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3.1871028290932739E-3"/>
                  <c:y val="0.19261556613137445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800"/>
                  </a:pPr>
                  <a:endParaRPr lang="en-US"/>
                </a:p>
              </c:txPr>
            </c:trendlineLbl>
          </c:trendline>
          <c:xVal>
            <c:numRef>
              <c:f>'Modern Family'!$BS$15:$BS$180</c:f>
              <c:numCache>
                <c:formatCode>General</c:formatCode>
                <c:ptCount val="1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13</c:v>
                </c:pt>
                <c:pt idx="61">
                  <c:v>14</c:v>
                </c:pt>
                <c:pt idx="62">
                  <c:v>15</c:v>
                </c:pt>
                <c:pt idx="63">
                  <c:v>16</c:v>
                </c:pt>
                <c:pt idx="64">
                  <c:v>17</c:v>
                </c:pt>
                <c:pt idx="65">
                  <c:v>18</c:v>
                </c:pt>
                <c:pt idx="66">
                  <c:v>19</c:v>
                </c:pt>
                <c:pt idx="67">
                  <c:v>20</c:v>
                </c:pt>
                <c:pt idx="68">
                  <c:v>21</c:v>
                </c:pt>
                <c:pt idx="69">
                  <c:v>22</c:v>
                </c:pt>
                <c:pt idx="70">
                  <c:v>23</c:v>
                </c:pt>
                <c:pt idx="71">
                  <c:v>24</c:v>
                </c:pt>
                <c:pt idx="72">
                  <c:v>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13</c:v>
                </c:pt>
                <c:pt idx="85">
                  <c:v>14</c:v>
                </c:pt>
                <c:pt idx="86">
                  <c:v>15</c:v>
                </c:pt>
                <c:pt idx="87">
                  <c:v>16</c:v>
                </c:pt>
                <c:pt idx="88">
                  <c:v>17</c:v>
                </c:pt>
                <c:pt idx="89">
                  <c:v>18</c:v>
                </c:pt>
                <c:pt idx="90">
                  <c:v>19</c:v>
                </c:pt>
                <c:pt idx="91">
                  <c:v>20</c:v>
                </c:pt>
                <c:pt idx="92">
                  <c:v>21</c:v>
                </c:pt>
                <c:pt idx="93">
                  <c:v>22</c:v>
                </c:pt>
                <c:pt idx="94">
                  <c:v>23</c:v>
                </c:pt>
                <c:pt idx="95">
                  <c:v>24</c:v>
                </c:pt>
                <c:pt idx="96">
                  <c:v>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13</c:v>
                </c:pt>
                <c:pt idx="109">
                  <c:v>14</c:v>
                </c:pt>
                <c:pt idx="110">
                  <c:v>15</c:v>
                </c:pt>
                <c:pt idx="111">
                  <c:v>16</c:v>
                </c:pt>
                <c:pt idx="112">
                  <c:v>17</c:v>
                </c:pt>
                <c:pt idx="113">
                  <c:v>18</c:v>
                </c:pt>
                <c:pt idx="114">
                  <c:v>19</c:v>
                </c:pt>
                <c:pt idx="115">
                  <c:v>20</c:v>
                </c:pt>
                <c:pt idx="116">
                  <c:v>21</c:v>
                </c:pt>
                <c:pt idx="117">
                  <c:v>22</c:v>
                </c:pt>
                <c:pt idx="118">
                  <c:v>23</c:v>
                </c:pt>
                <c:pt idx="119">
                  <c:v>24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13</c:v>
                </c:pt>
                <c:pt idx="157">
                  <c:v>14</c:v>
                </c:pt>
                <c:pt idx="158">
                  <c:v>15</c:v>
                </c:pt>
                <c:pt idx="159">
                  <c:v>16</c:v>
                </c:pt>
                <c:pt idx="160">
                  <c:v>17</c:v>
                </c:pt>
                <c:pt idx="161">
                  <c:v>18</c:v>
                </c:pt>
                <c:pt idx="162">
                  <c:v>19</c:v>
                </c:pt>
                <c:pt idx="163">
                  <c:v>20</c:v>
                </c:pt>
                <c:pt idx="164">
                  <c:v>21</c:v>
                </c:pt>
                <c:pt idx="165">
                  <c:v>22</c:v>
                </c:pt>
              </c:numCache>
            </c:numRef>
          </c:xVal>
          <c:yVal>
            <c:numRef>
              <c:f>'Modern Family'!$BT$15:$BT$180</c:f>
              <c:numCache>
                <c:formatCode>General</c:formatCode>
                <c:ptCount val="166"/>
                <c:pt idx="0">
                  <c:v>12.6</c:v>
                </c:pt>
                <c:pt idx="1">
                  <c:v>9.99</c:v>
                </c:pt>
                <c:pt idx="2">
                  <c:v>8.82</c:v>
                </c:pt>
                <c:pt idx="3">
                  <c:v>9.35</c:v>
                </c:pt>
                <c:pt idx="4">
                  <c:v>8.66</c:v>
                </c:pt>
                <c:pt idx="5">
                  <c:v>9.32</c:v>
                </c:pt>
                <c:pt idx="6">
                  <c:v>8.77</c:v>
                </c:pt>
                <c:pt idx="7">
                  <c:v>9.16</c:v>
                </c:pt>
                <c:pt idx="8">
                  <c:v>7.12</c:v>
                </c:pt>
                <c:pt idx="9">
                  <c:v>9.67</c:v>
                </c:pt>
                <c:pt idx="10">
                  <c:v>10.220000000000001</c:v>
                </c:pt>
                <c:pt idx="11">
                  <c:v>7.83</c:v>
                </c:pt>
                <c:pt idx="12">
                  <c:v>9.83</c:v>
                </c:pt>
                <c:pt idx="13">
                  <c:v>9.19</c:v>
                </c:pt>
                <c:pt idx="14">
                  <c:v>9.84</c:v>
                </c:pt>
                <c:pt idx="15">
                  <c:v>8.01</c:v>
                </c:pt>
                <c:pt idx="16">
                  <c:v>8.9499999999999993</c:v>
                </c:pt>
                <c:pt idx="17">
                  <c:v>9.18</c:v>
                </c:pt>
                <c:pt idx="18">
                  <c:v>9.51</c:v>
                </c:pt>
                <c:pt idx="19">
                  <c:v>8.8800000000000008</c:v>
                </c:pt>
                <c:pt idx="20">
                  <c:v>10.01</c:v>
                </c:pt>
                <c:pt idx="21">
                  <c:v>9.48</c:v>
                </c:pt>
                <c:pt idx="22">
                  <c:v>10.34</c:v>
                </c:pt>
                <c:pt idx="23">
                  <c:v>10.14</c:v>
                </c:pt>
                <c:pt idx="24" formatCode="0.00">
                  <c:v>12.67</c:v>
                </c:pt>
                <c:pt idx="25" formatCode="0.00">
                  <c:v>11.92</c:v>
                </c:pt>
                <c:pt idx="26" formatCode="0.00">
                  <c:v>11.44</c:v>
                </c:pt>
                <c:pt idx="27" formatCode="0.00">
                  <c:v>11.45</c:v>
                </c:pt>
                <c:pt idx="28" formatCode="0.00">
                  <c:v>11.97</c:v>
                </c:pt>
                <c:pt idx="29" formatCode="0.00">
                  <c:v>13.14</c:v>
                </c:pt>
                <c:pt idx="30" formatCode="0.00">
                  <c:v>12.24</c:v>
                </c:pt>
                <c:pt idx="31" formatCode="0.00">
                  <c:v>12.09</c:v>
                </c:pt>
                <c:pt idx="32" formatCode="0.00">
                  <c:v>10.57</c:v>
                </c:pt>
                <c:pt idx="33" formatCode="0.00">
                  <c:v>11.07</c:v>
                </c:pt>
                <c:pt idx="34" formatCode="0.00">
                  <c:v>11.83</c:v>
                </c:pt>
                <c:pt idx="35" formatCode="0.00">
                  <c:v>11.12</c:v>
                </c:pt>
                <c:pt idx="36" formatCode="0.00">
                  <c:v>10.98</c:v>
                </c:pt>
                <c:pt idx="37" formatCode="0.00">
                  <c:v>13.16</c:v>
                </c:pt>
                <c:pt idx="38" formatCode="0.00">
                  <c:v>10.57</c:v>
                </c:pt>
                <c:pt idx="39" formatCode="0.00">
                  <c:v>10.17</c:v>
                </c:pt>
                <c:pt idx="40" formatCode="0.00">
                  <c:v>10.11</c:v>
                </c:pt>
                <c:pt idx="41" formatCode="0.00">
                  <c:v>10.9</c:v>
                </c:pt>
                <c:pt idx="42" formatCode="0.00">
                  <c:v>9.61</c:v>
                </c:pt>
                <c:pt idx="43" formatCode="0.00">
                  <c:v>9.9499999999999993</c:v>
                </c:pt>
                <c:pt idx="44" formatCode="0.00">
                  <c:v>9.9</c:v>
                </c:pt>
                <c:pt idx="45" formatCode="0.00">
                  <c:v>10.15</c:v>
                </c:pt>
                <c:pt idx="46" formatCode="0.00">
                  <c:v>10.3</c:v>
                </c:pt>
                <c:pt idx="47" formatCode="0.00">
                  <c:v>10.31</c:v>
                </c:pt>
                <c:pt idx="48" formatCode="0.00">
                  <c:v>14.52</c:v>
                </c:pt>
                <c:pt idx="49" formatCode="0.00">
                  <c:v>14.54</c:v>
                </c:pt>
                <c:pt idx="50" formatCode="0.00">
                  <c:v>13.45</c:v>
                </c:pt>
                <c:pt idx="51" formatCode="0.00">
                  <c:v>13.24</c:v>
                </c:pt>
                <c:pt idx="52" formatCode="0.00">
                  <c:v>13.65</c:v>
                </c:pt>
                <c:pt idx="53" formatCode="0.00">
                  <c:v>13.04</c:v>
                </c:pt>
                <c:pt idx="54" formatCode="0.00">
                  <c:v>13.37</c:v>
                </c:pt>
                <c:pt idx="55" formatCode="0.00">
                  <c:v>12.91</c:v>
                </c:pt>
                <c:pt idx="56" formatCode="0.00">
                  <c:v>12.72</c:v>
                </c:pt>
                <c:pt idx="57" formatCode="0.00">
                  <c:v>12.2</c:v>
                </c:pt>
                <c:pt idx="58" formatCode="0.00">
                  <c:v>14.03</c:v>
                </c:pt>
                <c:pt idx="59" formatCode="0.00">
                  <c:v>12.12</c:v>
                </c:pt>
                <c:pt idx="60" formatCode="0.00">
                  <c:v>11.89</c:v>
                </c:pt>
                <c:pt idx="61" formatCode="0.00">
                  <c:v>12.9</c:v>
                </c:pt>
                <c:pt idx="62" formatCode="0.00">
                  <c:v>11.23</c:v>
                </c:pt>
                <c:pt idx="63" formatCode="0.00">
                  <c:v>11.54</c:v>
                </c:pt>
                <c:pt idx="64" formatCode="0.00">
                  <c:v>11.63</c:v>
                </c:pt>
                <c:pt idx="65" formatCode="0.00">
                  <c:v>10.6</c:v>
                </c:pt>
                <c:pt idx="66" formatCode="0.00">
                  <c:v>10.35</c:v>
                </c:pt>
                <c:pt idx="67" formatCode="0.00">
                  <c:v>10.210000000000001</c:v>
                </c:pt>
                <c:pt idx="68" formatCode="0.00">
                  <c:v>10.06</c:v>
                </c:pt>
                <c:pt idx="69" formatCode="0.00">
                  <c:v>10.58</c:v>
                </c:pt>
                <c:pt idx="70" formatCode="0.00">
                  <c:v>9.36</c:v>
                </c:pt>
                <c:pt idx="71" formatCode="0.00">
                  <c:v>10.07</c:v>
                </c:pt>
                <c:pt idx="72" formatCode="0.00">
                  <c:v>14.44</c:v>
                </c:pt>
                <c:pt idx="73" formatCode="0.00">
                  <c:v>12.08</c:v>
                </c:pt>
                <c:pt idx="74" formatCode="0.00">
                  <c:v>12.31</c:v>
                </c:pt>
                <c:pt idx="75" formatCode="0.00">
                  <c:v>12.28</c:v>
                </c:pt>
                <c:pt idx="76" formatCode="0.00">
                  <c:v>12.52</c:v>
                </c:pt>
                <c:pt idx="77" formatCode="0.00">
                  <c:v>10.62</c:v>
                </c:pt>
                <c:pt idx="78" formatCode="0.00">
                  <c:v>12.43</c:v>
                </c:pt>
                <c:pt idx="79" formatCode="0.00">
                  <c:v>11.89</c:v>
                </c:pt>
                <c:pt idx="80" formatCode="0.00">
                  <c:v>12.01</c:v>
                </c:pt>
                <c:pt idx="81" formatCode="0.00">
                  <c:v>10.94</c:v>
                </c:pt>
                <c:pt idx="82" formatCode="0.00">
                  <c:v>12.04</c:v>
                </c:pt>
                <c:pt idx="83" formatCode="0.00">
                  <c:v>11.01</c:v>
                </c:pt>
                <c:pt idx="84" formatCode="0.00">
                  <c:v>10.83</c:v>
                </c:pt>
                <c:pt idx="85" formatCode="0.00">
                  <c:v>9.83</c:v>
                </c:pt>
                <c:pt idx="86" formatCode="0.00">
                  <c:v>10.050000000000001</c:v>
                </c:pt>
                <c:pt idx="87" formatCode="0.00">
                  <c:v>10.62</c:v>
                </c:pt>
                <c:pt idx="88" formatCode="0.00">
                  <c:v>10.53</c:v>
                </c:pt>
                <c:pt idx="89" formatCode="0.00">
                  <c:v>9.09</c:v>
                </c:pt>
                <c:pt idx="90" formatCode="0.00">
                  <c:v>10.88</c:v>
                </c:pt>
                <c:pt idx="91" formatCode="0.00">
                  <c:v>10.38</c:v>
                </c:pt>
                <c:pt idx="92" formatCode="0.00">
                  <c:v>9.64</c:v>
                </c:pt>
                <c:pt idx="93" formatCode="0.00">
                  <c:v>9.02</c:v>
                </c:pt>
                <c:pt idx="94" formatCode="0.00">
                  <c:v>10.029999999999999</c:v>
                </c:pt>
                <c:pt idx="95" formatCode="0.00">
                  <c:v>10.01</c:v>
                </c:pt>
                <c:pt idx="96" formatCode="0.00">
                  <c:v>11.71</c:v>
                </c:pt>
                <c:pt idx="97" formatCode="0.00">
                  <c:v>11.65</c:v>
                </c:pt>
                <c:pt idx="98" formatCode="0.00">
                  <c:v>11.12</c:v>
                </c:pt>
                <c:pt idx="99" formatCode="0.00">
                  <c:v>10.64</c:v>
                </c:pt>
                <c:pt idx="100" formatCode="0.00">
                  <c:v>10.94</c:v>
                </c:pt>
                <c:pt idx="101" formatCode="0.00">
                  <c:v>10.32</c:v>
                </c:pt>
                <c:pt idx="102" formatCode="0.00">
                  <c:v>10.75</c:v>
                </c:pt>
                <c:pt idx="103" formatCode="0.00">
                  <c:v>10.19</c:v>
                </c:pt>
                <c:pt idx="104" formatCode="0.00">
                  <c:v>9.4700000000000006</c:v>
                </c:pt>
                <c:pt idx="105" formatCode="0.00">
                  <c:v>10.61</c:v>
                </c:pt>
                <c:pt idx="106" formatCode="0.00">
                  <c:v>9.51</c:v>
                </c:pt>
                <c:pt idx="107" formatCode="0.00">
                  <c:v>9.14</c:v>
                </c:pt>
                <c:pt idx="108" formatCode="0.00">
                  <c:v>9.59</c:v>
                </c:pt>
                <c:pt idx="109" formatCode="0.00">
                  <c:v>9.8699999999999992</c:v>
                </c:pt>
                <c:pt idx="110" formatCode="0.00">
                  <c:v>8.52</c:v>
                </c:pt>
                <c:pt idx="111" formatCode="0.00">
                  <c:v>9.2200000000000006</c:v>
                </c:pt>
                <c:pt idx="112" formatCode="0.00">
                  <c:v>9.39</c:v>
                </c:pt>
                <c:pt idx="113" formatCode="0.00">
                  <c:v>10.09</c:v>
                </c:pt>
                <c:pt idx="114" formatCode="0.00">
                  <c:v>9</c:v>
                </c:pt>
                <c:pt idx="115" formatCode="0.00">
                  <c:v>9.59</c:v>
                </c:pt>
                <c:pt idx="116" formatCode="0.00">
                  <c:v>8.39</c:v>
                </c:pt>
                <c:pt idx="117" formatCode="0.00">
                  <c:v>8.5500000000000007</c:v>
                </c:pt>
                <c:pt idx="118" formatCode="0.00">
                  <c:v>9.08</c:v>
                </c:pt>
                <c:pt idx="119" formatCode="0.00">
                  <c:v>10.45</c:v>
                </c:pt>
                <c:pt idx="120" formatCode="0.00">
                  <c:v>11.38</c:v>
                </c:pt>
                <c:pt idx="121" formatCode="0.00">
                  <c:v>10.56</c:v>
                </c:pt>
                <c:pt idx="122" formatCode="0.00">
                  <c:v>10.3</c:v>
                </c:pt>
                <c:pt idx="123" formatCode="0.00">
                  <c:v>9.7100000000000009</c:v>
                </c:pt>
                <c:pt idx="124" formatCode="0.00">
                  <c:v>10.16</c:v>
                </c:pt>
                <c:pt idx="125" formatCode="0.00">
                  <c:v>9.92</c:v>
                </c:pt>
                <c:pt idx="126" formatCode="0.00">
                  <c:v>9.83</c:v>
                </c:pt>
                <c:pt idx="127" formatCode="0.00">
                  <c:v>10.88</c:v>
                </c:pt>
                <c:pt idx="128" formatCode="0.00">
                  <c:v>9.02</c:v>
                </c:pt>
                <c:pt idx="129" formatCode="0.00">
                  <c:v>9.69</c:v>
                </c:pt>
                <c:pt idx="130" formatCode="0.00">
                  <c:v>9.2899999999999991</c:v>
                </c:pt>
                <c:pt idx="131" formatCode="0.00">
                  <c:v>9.44</c:v>
                </c:pt>
                <c:pt idx="132" formatCode="0.00">
                  <c:v>9.8699999999999992</c:v>
                </c:pt>
                <c:pt idx="133" formatCode="0.00">
                  <c:v>9.77</c:v>
                </c:pt>
                <c:pt idx="134" formatCode="0.00">
                  <c:v>8.8000000000000007</c:v>
                </c:pt>
                <c:pt idx="135" formatCode="0.00">
                  <c:v>9.32</c:v>
                </c:pt>
                <c:pt idx="136" formatCode="0.00">
                  <c:v>9.61</c:v>
                </c:pt>
                <c:pt idx="137" formatCode="0.00">
                  <c:v>8.7100000000000009</c:v>
                </c:pt>
                <c:pt idx="138" formatCode="0.00">
                  <c:v>9.43</c:v>
                </c:pt>
                <c:pt idx="139" formatCode="0.00">
                  <c:v>8.85</c:v>
                </c:pt>
                <c:pt idx="140" formatCode="0.00">
                  <c:v>8</c:v>
                </c:pt>
                <c:pt idx="141" formatCode="0.00">
                  <c:v>8.57</c:v>
                </c:pt>
                <c:pt idx="142" formatCode="0.00">
                  <c:v>8.1300000000000008</c:v>
                </c:pt>
                <c:pt idx="143" formatCode="0.00">
                  <c:v>7.2</c:v>
                </c:pt>
                <c:pt idx="144" formatCode="0.00">
                  <c:v>9.4600000000000009</c:v>
                </c:pt>
                <c:pt idx="145" formatCode="0.00">
                  <c:v>8.7200000000000006</c:v>
                </c:pt>
                <c:pt idx="146" formatCode="0.00">
                  <c:v>7.99</c:v>
                </c:pt>
                <c:pt idx="147" formatCode="0.00">
                  <c:v>7.88</c:v>
                </c:pt>
                <c:pt idx="148" formatCode="0.00">
                  <c:v>7.8</c:v>
                </c:pt>
                <c:pt idx="149" formatCode="0.00">
                  <c:v>8.15</c:v>
                </c:pt>
                <c:pt idx="150" formatCode="0.00">
                  <c:v>8.3800000000000008</c:v>
                </c:pt>
                <c:pt idx="151" formatCode="0.00">
                  <c:v>7.35</c:v>
                </c:pt>
                <c:pt idx="152" formatCode="0.00">
                  <c:v>8.1999999999999993</c:v>
                </c:pt>
                <c:pt idx="153" formatCode="0.00">
                  <c:v>8.35</c:v>
                </c:pt>
                <c:pt idx="154" formatCode="0.00">
                  <c:v>8.17</c:v>
                </c:pt>
                <c:pt idx="155" formatCode="0.00">
                  <c:v>7.8</c:v>
                </c:pt>
                <c:pt idx="156" formatCode="0.00">
                  <c:v>7.48</c:v>
                </c:pt>
                <c:pt idx="157" formatCode="0.00">
                  <c:v>8.1</c:v>
                </c:pt>
                <c:pt idx="158" formatCode="0.00">
                  <c:v>8.2200000000000006</c:v>
                </c:pt>
                <c:pt idx="159" formatCode="0.00">
                  <c:v>8.14</c:v>
                </c:pt>
                <c:pt idx="160" formatCode="0.00">
                  <c:v>7.69</c:v>
                </c:pt>
                <c:pt idx="161" formatCode="0.00">
                  <c:v>7.51</c:v>
                </c:pt>
                <c:pt idx="162" formatCode="0.00">
                  <c:v>7.44</c:v>
                </c:pt>
                <c:pt idx="163" formatCode="0.00">
                  <c:v>7.42</c:v>
                </c:pt>
                <c:pt idx="164" formatCode="0.00">
                  <c:v>7.16</c:v>
                </c:pt>
                <c:pt idx="165" formatCode="0.00">
                  <c:v>6.79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12416"/>
        <c:axId val="151214336"/>
      </c:scatterChart>
      <c:valAx>
        <c:axId val="151212416"/>
        <c:scaling>
          <c:orientation val="minMax"/>
          <c:max val="2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Episode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214336"/>
        <c:crosses val="autoZero"/>
        <c:crossBetween val="midCat"/>
      </c:valAx>
      <c:valAx>
        <c:axId val="1512143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Number Of Viewers (Millions)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212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13474555424954615"/>
          <c:y val="0.52032400665883571"/>
          <c:w val="0.15338901866050164"/>
          <c:h val="0.365079371445048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571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Normalized Modern Family Viewership</a:t>
            </a:r>
            <a:r>
              <a:rPr lang="en-US" sz="1800" baseline="0"/>
              <a:t> - Season 1-7</a:t>
            </a:r>
            <a:endParaRPr lang="en-US" sz="1800"/>
          </a:p>
        </c:rich>
      </c:tx>
      <c:layout>
        <c:manualLayout>
          <c:xMode val="edge"/>
          <c:yMode val="edge"/>
          <c:x val="0.14853600444928958"/>
          <c:y val="1.5264404730282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132180198786627"/>
          <c:y val="9.443668347793592E-2"/>
          <c:w val="0.84269459145475667"/>
          <c:h val="0.78825359007073881"/>
        </c:manualLayout>
      </c:layout>
      <c:scatterChart>
        <c:scatterStyle val="smoothMarker"/>
        <c:varyColors val="0"/>
        <c:ser>
          <c:idx val="0"/>
          <c:order val="0"/>
          <c:tx>
            <c:v>Season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5875">
                <a:solidFill>
                  <a:schemeClr val="accent1"/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Family'!$AD$15:$AD$38</c:f>
              <c:numCache>
                <c:formatCode>0.00</c:formatCode>
                <c:ptCount val="24"/>
                <c:pt idx="0">
                  <c:v>1</c:v>
                </c:pt>
                <c:pt idx="1">
                  <c:v>0.79285714285714293</c:v>
                </c:pt>
                <c:pt idx="2">
                  <c:v>0.70000000000000007</c:v>
                </c:pt>
                <c:pt idx="3">
                  <c:v>0.74206349206349209</c:v>
                </c:pt>
                <c:pt idx="4">
                  <c:v>0.6873015873015873</c:v>
                </c:pt>
                <c:pt idx="5">
                  <c:v>0.73968253968253972</c:v>
                </c:pt>
                <c:pt idx="6">
                  <c:v>0.696031746031746</c:v>
                </c:pt>
                <c:pt idx="7">
                  <c:v>0.72698412698412707</c:v>
                </c:pt>
                <c:pt idx="8">
                  <c:v>0.56507936507936507</c:v>
                </c:pt>
                <c:pt idx="9">
                  <c:v>0.76746031746031751</c:v>
                </c:pt>
                <c:pt idx="10">
                  <c:v>0.81111111111111123</c:v>
                </c:pt>
                <c:pt idx="11">
                  <c:v>0.62142857142857144</c:v>
                </c:pt>
                <c:pt idx="12">
                  <c:v>0.78015873015873016</c:v>
                </c:pt>
                <c:pt idx="13">
                  <c:v>0.72936507936507933</c:v>
                </c:pt>
                <c:pt idx="14">
                  <c:v>0.78095238095238095</c:v>
                </c:pt>
                <c:pt idx="15">
                  <c:v>0.63571428571428568</c:v>
                </c:pt>
                <c:pt idx="16">
                  <c:v>0.71031746031746024</c:v>
                </c:pt>
                <c:pt idx="17">
                  <c:v>0.72857142857142854</c:v>
                </c:pt>
                <c:pt idx="18">
                  <c:v>0.75476190476190474</c:v>
                </c:pt>
                <c:pt idx="19">
                  <c:v>0.70476190476190481</c:v>
                </c:pt>
                <c:pt idx="20">
                  <c:v>0.7944444444444444</c:v>
                </c:pt>
                <c:pt idx="21">
                  <c:v>0.75238095238095248</c:v>
                </c:pt>
                <c:pt idx="22">
                  <c:v>0.82063492063492061</c:v>
                </c:pt>
                <c:pt idx="23">
                  <c:v>0.80476190476190479</c:v>
                </c:pt>
              </c:numCache>
            </c:numRef>
          </c:yVal>
          <c:smooth val="1"/>
        </c:ser>
        <c:ser>
          <c:idx val="1"/>
          <c:order val="1"/>
          <c:tx>
            <c:v>Season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5875">
                <a:solidFill>
                  <a:schemeClr val="accent2"/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Family'!$AE$15:$AE$38</c:f>
              <c:numCache>
                <c:formatCode>0.00</c:formatCode>
                <c:ptCount val="24"/>
                <c:pt idx="0">
                  <c:v>1</c:v>
                </c:pt>
                <c:pt idx="1">
                  <c:v>0.94080505130228886</c:v>
                </c:pt>
                <c:pt idx="2">
                  <c:v>0.90292028413575376</c:v>
                </c:pt>
                <c:pt idx="3">
                  <c:v>0.90370955011838983</c:v>
                </c:pt>
                <c:pt idx="4">
                  <c:v>0.94475138121546964</c:v>
                </c:pt>
                <c:pt idx="5">
                  <c:v>1.0370955011838989</c:v>
                </c:pt>
                <c:pt idx="6">
                  <c:v>0.96606156274664567</c:v>
                </c:pt>
                <c:pt idx="7">
                  <c:v>0.95422257300710334</c:v>
                </c:pt>
                <c:pt idx="8">
                  <c:v>0.83425414364640882</c:v>
                </c:pt>
                <c:pt idx="9">
                  <c:v>0.87371744277821628</c:v>
                </c:pt>
                <c:pt idx="10">
                  <c:v>0.93370165745856359</c:v>
                </c:pt>
                <c:pt idx="11">
                  <c:v>0.87766377269139695</c:v>
                </c:pt>
                <c:pt idx="12">
                  <c:v>0.86661404893449101</c:v>
                </c:pt>
                <c:pt idx="13">
                  <c:v>1.0386740331491713</c:v>
                </c:pt>
                <c:pt idx="14">
                  <c:v>0.83425414364640882</c:v>
                </c:pt>
                <c:pt idx="15">
                  <c:v>0.80268350434096292</c:v>
                </c:pt>
                <c:pt idx="16">
                  <c:v>0.79794790844514596</c:v>
                </c:pt>
                <c:pt idx="17">
                  <c:v>0.86029992107340181</c:v>
                </c:pt>
                <c:pt idx="18">
                  <c:v>0.75848460931333861</c:v>
                </c:pt>
                <c:pt idx="19">
                  <c:v>0.78531965272296755</c:v>
                </c:pt>
                <c:pt idx="20">
                  <c:v>0.78137332280978689</c:v>
                </c:pt>
                <c:pt idx="21">
                  <c:v>0.80110497237569067</c:v>
                </c:pt>
                <c:pt idx="22">
                  <c:v>0.8129439621152329</c:v>
                </c:pt>
                <c:pt idx="23">
                  <c:v>0.81373322809786908</c:v>
                </c:pt>
              </c:numCache>
            </c:numRef>
          </c:yVal>
          <c:smooth val="1"/>
        </c:ser>
        <c:ser>
          <c:idx val="2"/>
          <c:order val="2"/>
          <c:tx>
            <c:v>Season 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Family'!$AF$15:$AF$38</c:f>
              <c:numCache>
                <c:formatCode>0.00</c:formatCode>
                <c:ptCount val="24"/>
                <c:pt idx="0">
                  <c:v>1</c:v>
                </c:pt>
                <c:pt idx="1">
                  <c:v>1.0013774104683195</c:v>
                </c:pt>
                <c:pt idx="2">
                  <c:v>0.92630853994490359</c:v>
                </c:pt>
                <c:pt idx="3">
                  <c:v>0.91184573002754821</c:v>
                </c:pt>
                <c:pt idx="4">
                  <c:v>0.94008264462809921</c:v>
                </c:pt>
                <c:pt idx="5">
                  <c:v>0.89807162534435259</c:v>
                </c:pt>
                <c:pt idx="6">
                  <c:v>0.92079889807162529</c:v>
                </c:pt>
                <c:pt idx="7">
                  <c:v>0.8891184573002755</c:v>
                </c:pt>
                <c:pt idx="8">
                  <c:v>0.87603305785123975</c:v>
                </c:pt>
                <c:pt idx="9">
                  <c:v>0.84022038567493107</c:v>
                </c:pt>
                <c:pt idx="10">
                  <c:v>0.96625344352617082</c:v>
                </c:pt>
                <c:pt idx="11">
                  <c:v>0.83471074380165289</c:v>
                </c:pt>
                <c:pt idx="12">
                  <c:v>0.81887052341597799</c:v>
                </c:pt>
                <c:pt idx="13">
                  <c:v>0.88842975206611574</c:v>
                </c:pt>
                <c:pt idx="14">
                  <c:v>0.77341597796143258</c:v>
                </c:pt>
                <c:pt idx="15">
                  <c:v>0.79476584022038566</c:v>
                </c:pt>
                <c:pt idx="16">
                  <c:v>0.80096418732782382</c:v>
                </c:pt>
                <c:pt idx="17">
                  <c:v>0.73002754820936644</c:v>
                </c:pt>
                <c:pt idx="18">
                  <c:v>0.71280991735537191</c:v>
                </c:pt>
                <c:pt idx="19">
                  <c:v>0.70316804407713507</c:v>
                </c:pt>
                <c:pt idx="20">
                  <c:v>0.69283746556473835</c:v>
                </c:pt>
                <c:pt idx="21">
                  <c:v>0.72865013774104681</c:v>
                </c:pt>
                <c:pt idx="22">
                  <c:v>0.64462809917355368</c:v>
                </c:pt>
                <c:pt idx="23">
                  <c:v>0.69352617079889811</c:v>
                </c:pt>
              </c:numCache>
            </c:numRef>
          </c:yVal>
          <c:smooth val="1"/>
        </c:ser>
        <c:ser>
          <c:idx val="3"/>
          <c:order val="3"/>
          <c:tx>
            <c:v>Season 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15875">
                <a:solidFill>
                  <a:schemeClr val="accent4"/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Family'!$AG$15:$AG$38</c:f>
              <c:numCache>
                <c:formatCode>0.00</c:formatCode>
                <c:ptCount val="24"/>
                <c:pt idx="0">
                  <c:v>1</c:v>
                </c:pt>
                <c:pt idx="1">
                  <c:v>0.83656509695290859</c:v>
                </c:pt>
                <c:pt idx="2">
                  <c:v>0.85249307479224379</c:v>
                </c:pt>
                <c:pt idx="3">
                  <c:v>0.85041551246537395</c:v>
                </c:pt>
                <c:pt idx="4">
                  <c:v>0.86703601108033246</c:v>
                </c:pt>
                <c:pt idx="5">
                  <c:v>0.73545706371191133</c:v>
                </c:pt>
                <c:pt idx="6">
                  <c:v>0.86080332409972304</c:v>
                </c:pt>
                <c:pt idx="7">
                  <c:v>0.82340720221606656</c:v>
                </c:pt>
                <c:pt idx="8">
                  <c:v>0.8317174515235457</c:v>
                </c:pt>
                <c:pt idx="9">
                  <c:v>0.75761772853185594</c:v>
                </c:pt>
                <c:pt idx="10">
                  <c:v>0.83379501385041543</c:v>
                </c:pt>
                <c:pt idx="11">
                  <c:v>0.76246537396121883</c:v>
                </c:pt>
                <c:pt idx="12">
                  <c:v>0.75</c:v>
                </c:pt>
                <c:pt idx="13">
                  <c:v>0.68074792243767313</c:v>
                </c:pt>
                <c:pt idx="14">
                  <c:v>0.69598337950138511</c:v>
                </c:pt>
                <c:pt idx="15">
                  <c:v>0.73545706371191133</c:v>
                </c:pt>
                <c:pt idx="16">
                  <c:v>0.72922437673130192</c:v>
                </c:pt>
                <c:pt idx="17">
                  <c:v>0.62950138504155129</c:v>
                </c:pt>
                <c:pt idx="18">
                  <c:v>0.75346260387811648</c:v>
                </c:pt>
                <c:pt idx="19">
                  <c:v>0.71883656509695304</c:v>
                </c:pt>
                <c:pt idx="20">
                  <c:v>0.66759002770083109</c:v>
                </c:pt>
                <c:pt idx="21">
                  <c:v>0.6246537396121884</c:v>
                </c:pt>
                <c:pt idx="22">
                  <c:v>0.69459833795013848</c:v>
                </c:pt>
                <c:pt idx="23">
                  <c:v>0.69321329639889195</c:v>
                </c:pt>
              </c:numCache>
            </c:numRef>
          </c:yVal>
          <c:smooth val="1"/>
        </c:ser>
        <c:ser>
          <c:idx val="4"/>
          <c:order val="4"/>
          <c:tx>
            <c:v>Season 5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15875">
                <a:solidFill>
                  <a:schemeClr val="accent5"/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Family'!$AH$15:$AH$38</c:f>
              <c:numCache>
                <c:formatCode>0.00</c:formatCode>
                <c:ptCount val="24"/>
                <c:pt idx="0">
                  <c:v>1</c:v>
                </c:pt>
                <c:pt idx="1">
                  <c:v>0.99487617421007679</c:v>
                </c:pt>
                <c:pt idx="2">
                  <c:v>0.94961571306575565</c:v>
                </c:pt>
                <c:pt idx="3">
                  <c:v>0.90862510674637065</c:v>
                </c:pt>
                <c:pt idx="4">
                  <c:v>0.93424423569598625</c:v>
                </c:pt>
                <c:pt idx="5">
                  <c:v>0.88129803586678046</c:v>
                </c:pt>
                <c:pt idx="6">
                  <c:v>0.91801878736122966</c:v>
                </c:pt>
                <c:pt idx="7">
                  <c:v>0.87019641332194697</c:v>
                </c:pt>
                <c:pt idx="8">
                  <c:v>0.80871050384286935</c:v>
                </c:pt>
                <c:pt idx="9">
                  <c:v>0.90606319385140899</c:v>
                </c:pt>
                <c:pt idx="10">
                  <c:v>0.81212638770281798</c:v>
                </c:pt>
                <c:pt idx="11">
                  <c:v>0.7805294619982921</c:v>
                </c:pt>
                <c:pt idx="12">
                  <c:v>0.81895815542271555</c:v>
                </c:pt>
                <c:pt idx="13">
                  <c:v>0.84286934244235678</c:v>
                </c:pt>
                <c:pt idx="14">
                  <c:v>0.7275832621690862</c:v>
                </c:pt>
                <c:pt idx="15">
                  <c:v>0.78736122971818956</c:v>
                </c:pt>
                <c:pt idx="16">
                  <c:v>0.80187873612297178</c:v>
                </c:pt>
                <c:pt idx="17">
                  <c:v>0.86165670367207503</c:v>
                </c:pt>
                <c:pt idx="18">
                  <c:v>0.76857386848847131</c:v>
                </c:pt>
                <c:pt idx="19">
                  <c:v>0.81895815542271555</c:v>
                </c:pt>
                <c:pt idx="20">
                  <c:v>0.71648163962425282</c:v>
                </c:pt>
                <c:pt idx="21">
                  <c:v>0.73014517506404786</c:v>
                </c:pt>
                <c:pt idx="22">
                  <c:v>0.77540563620836889</c:v>
                </c:pt>
                <c:pt idx="23">
                  <c:v>0.89239965841161384</c:v>
                </c:pt>
              </c:numCache>
            </c:numRef>
          </c:yVal>
          <c:smooth val="1"/>
        </c:ser>
        <c:ser>
          <c:idx val="5"/>
          <c:order val="5"/>
          <c:tx>
            <c:v>Season 6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5875">
                <a:solidFill>
                  <a:schemeClr val="accent6"/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Family'!$AI$15:$AI$38</c:f>
              <c:numCache>
                <c:formatCode>0.00</c:formatCode>
                <c:ptCount val="24"/>
                <c:pt idx="0">
                  <c:v>1</c:v>
                </c:pt>
                <c:pt idx="1">
                  <c:v>0.92794376098418274</c:v>
                </c:pt>
                <c:pt idx="2">
                  <c:v>0.90509666080843587</c:v>
                </c:pt>
                <c:pt idx="3">
                  <c:v>0.85325131810193322</c:v>
                </c:pt>
                <c:pt idx="4">
                  <c:v>0.89279437609841827</c:v>
                </c:pt>
                <c:pt idx="5">
                  <c:v>0.8717047451669595</c:v>
                </c:pt>
                <c:pt idx="6">
                  <c:v>0.86379613356766249</c:v>
                </c:pt>
                <c:pt idx="7">
                  <c:v>0.95606326889279436</c:v>
                </c:pt>
                <c:pt idx="8">
                  <c:v>0.7926186291739894</c:v>
                </c:pt>
                <c:pt idx="9">
                  <c:v>0.8514938488576449</c:v>
                </c:pt>
                <c:pt idx="10">
                  <c:v>0.81634446397188032</c:v>
                </c:pt>
                <c:pt idx="11">
                  <c:v>0.82952548330404208</c:v>
                </c:pt>
                <c:pt idx="12">
                  <c:v>0.86731107205623892</c:v>
                </c:pt>
                <c:pt idx="13">
                  <c:v>0.85852372583479775</c:v>
                </c:pt>
                <c:pt idx="14">
                  <c:v>0.77328646748681895</c:v>
                </c:pt>
                <c:pt idx="15">
                  <c:v>0.8189806678383128</c:v>
                </c:pt>
                <c:pt idx="16">
                  <c:v>0.84446397188049194</c:v>
                </c:pt>
                <c:pt idx="17">
                  <c:v>0.76537785588752194</c:v>
                </c:pt>
                <c:pt idx="18">
                  <c:v>0.82864674868189803</c:v>
                </c:pt>
                <c:pt idx="19">
                  <c:v>0.77768014059753943</c:v>
                </c:pt>
                <c:pt idx="20">
                  <c:v>0.70298769771528991</c:v>
                </c:pt>
                <c:pt idx="21">
                  <c:v>0.75307557117750434</c:v>
                </c:pt>
                <c:pt idx="22">
                  <c:v>0.71441124780316345</c:v>
                </c:pt>
                <c:pt idx="23">
                  <c:v>0.63268892794376097</c:v>
                </c:pt>
              </c:numCache>
            </c:numRef>
          </c:yVal>
          <c:smooth val="1"/>
        </c:ser>
        <c:ser>
          <c:idx val="6"/>
          <c:order val="6"/>
          <c:tx>
            <c:v>Season 7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1587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Family'!$AJ$15:$AJ$36</c:f>
              <c:numCache>
                <c:formatCode>0.00</c:formatCode>
                <c:ptCount val="22"/>
                <c:pt idx="0">
                  <c:v>1</c:v>
                </c:pt>
                <c:pt idx="1">
                  <c:v>0.92177589852008457</c:v>
                </c:pt>
                <c:pt idx="2">
                  <c:v>0.84460887949260033</c:v>
                </c:pt>
                <c:pt idx="3">
                  <c:v>0.83298097251585612</c:v>
                </c:pt>
                <c:pt idx="4">
                  <c:v>0.82452431289640582</c:v>
                </c:pt>
                <c:pt idx="5">
                  <c:v>0.86152219873150104</c:v>
                </c:pt>
                <c:pt idx="6">
                  <c:v>0.88583509513742076</c:v>
                </c:pt>
                <c:pt idx="7">
                  <c:v>0.7769556025369978</c:v>
                </c:pt>
                <c:pt idx="8">
                  <c:v>0.86680761099365733</c:v>
                </c:pt>
                <c:pt idx="9">
                  <c:v>0.88266384778012674</c:v>
                </c:pt>
                <c:pt idx="10">
                  <c:v>0.86363636363636354</c:v>
                </c:pt>
                <c:pt idx="11">
                  <c:v>0.82452431289640582</c:v>
                </c:pt>
                <c:pt idx="12">
                  <c:v>0.79069767441860461</c:v>
                </c:pt>
                <c:pt idx="13">
                  <c:v>0.85623678646934454</c:v>
                </c:pt>
                <c:pt idx="14">
                  <c:v>0.86892177589852004</c:v>
                </c:pt>
                <c:pt idx="15">
                  <c:v>0.86046511627906974</c:v>
                </c:pt>
                <c:pt idx="16">
                  <c:v>0.81289640591966172</c:v>
                </c:pt>
                <c:pt idx="17">
                  <c:v>0.79386892177589841</c:v>
                </c:pt>
                <c:pt idx="18">
                  <c:v>0.78646934460887952</c:v>
                </c:pt>
                <c:pt idx="19">
                  <c:v>0.7843551797040168</c:v>
                </c:pt>
                <c:pt idx="20">
                  <c:v>0.75687103594080329</c:v>
                </c:pt>
                <c:pt idx="21">
                  <c:v>0.71775898520084558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364352"/>
        <c:axId val="151366656"/>
      </c:scatterChart>
      <c:valAx>
        <c:axId val="151364352"/>
        <c:scaling>
          <c:orientation val="minMax"/>
          <c:max val="2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Episode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366656"/>
        <c:crosses val="autoZero"/>
        <c:crossBetween val="midCat"/>
      </c:valAx>
      <c:valAx>
        <c:axId val="1513666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Normalized</a:t>
                </a:r>
                <a:r>
                  <a:rPr lang="en-US" sz="1600" baseline="0"/>
                  <a:t> Number Of Viewers By Episode 1 </a:t>
                </a:r>
                <a:endParaRPr lang="en-US" sz="16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364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650283980895832"/>
          <c:y val="0.517777335821476"/>
          <c:w val="0.15032819155802243"/>
          <c:h val="0.36543560006126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571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Normalized Modern Family Viewership</a:t>
            </a:r>
            <a:r>
              <a:rPr lang="en-US" sz="1800" baseline="0"/>
              <a:t> - Season 1-7</a:t>
            </a:r>
            <a:endParaRPr lang="en-US" sz="1800"/>
          </a:p>
        </c:rich>
      </c:tx>
      <c:layout>
        <c:manualLayout>
          <c:xMode val="edge"/>
          <c:yMode val="edge"/>
          <c:x val="0.14853600444928958"/>
          <c:y val="1.5264404730282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132180198786627"/>
          <c:y val="9.443668347793592E-2"/>
          <c:w val="0.84269459145475667"/>
          <c:h val="0.78825359007073881"/>
        </c:manualLayout>
      </c:layout>
      <c:scatterChart>
        <c:scatterStyle val="smoothMarker"/>
        <c:varyColors val="0"/>
        <c:ser>
          <c:idx val="0"/>
          <c:order val="0"/>
          <c:tx>
            <c:v>Season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5875">
                <a:solidFill>
                  <a:schemeClr val="accent1"/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Family'!$AD$15:$AD$38</c:f>
              <c:numCache>
                <c:formatCode>0.00</c:formatCode>
                <c:ptCount val="24"/>
                <c:pt idx="0">
                  <c:v>1</c:v>
                </c:pt>
                <c:pt idx="1">
                  <c:v>0.79285714285714293</c:v>
                </c:pt>
                <c:pt idx="2">
                  <c:v>0.70000000000000007</c:v>
                </c:pt>
                <c:pt idx="3">
                  <c:v>0.74206349206349209</c:v>
                </c:pt>
                <c:pt idx="4">
                  <c:v>0.6873015873015873</c:v>
                </c:pt>
                <c:pt idx="5">
                  <c:v>0.73968253968253972</c:v>
                </c:pt>
                <c:pt idx="6">
                  <c:v>0.696031746031746</c:v>
                </c:pt>
                <c:pt idx="7">
                  <c:v>0.72698412698412707</c:v>
                </c:pt>
                <c:pt idx="8">
                  <c:v>0.56507936507936507</c:v>
                </c:pt>
                <c:pt idx="9">
                  <c:v>0.76746031746031751</c:v>
                </c:pt>
                <c:pt idx="10">
                  <c:v>0.81111111111111123</c:v>
                </c:pt>
                <c:pt idx="11">
                  <c:v>0.62142857142857144</c:v>
                </c:pt>
                <c:pt idx="12">
                  <c:v>0.78015873015873016</c:v>
                </c:pt>
                <c:pt idx="13">
                  <c:v>0.72936507936507933</c:v>
                </c:pt>
                <c:pt idx="14">
                  <c:v>0.78095238095238095</c:v>
                </c:pt>
                <c:pt idx="15">
                  <c:v>0.63571428571428568</c:v>
                </c:pt>
                <c:pt idx="16">
                  <c:v>0.71031746031746024</c:v>
                </c:pt>
                <c:pt idx="17">
                  <c:v>0.72857142857142854</c:v>
                </c:pt>
                <c:pt idx="18">
                  <c:v>0.75476190476190474</c:v>
                </c:pt>
                <c:pt idx="19">
                  <c:v>0.70476190476190481</c:v>
                </c:pt>
                <c:pt idx="20">
                  <c:v>0.7944444444444444</c:v>
                </c:pt>
                <c:pt idx="21">
                  <c:v>0.75238095238095248</c:v>
                </c:pt>
                <c:pt idx="22">
                  <c:v>0.82063492063492061</c:v>
                </c:pt>
                <c:pt idx="23">
                  <c:v>0.80476190476190479</c:v>
                </c:pt>
              </c:numCache>
            </c:numRef>
          </c:yVal>
          <c:smooth val="1"/>
        </c:ser>
        <c:ser>
          <c:idx val="1"/>
          <c:order val="1"/>
          <c:tx>
            <c:v>Season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5875">
                <a:solidFill>
                  <a:schemeClr val="accent2"/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Family'!$AE$15:$AE$38</c:f>
              <c:numCache>
                <c:formatCode>0.00</c:formatCode>
                <c:ptCount val="24"/>
                <c:pt idx="0">
                  <c:v>1</c:v>
                </c:pt>
                <c:pt idx="1">
                  <c:v>0.94080505130228886</c:v>
                </c:pt>
                <c:pt idx="2">
                  <c:v>0.90292028413575376</c:v>
                </c:pt>
                <c:pt idx="3">
                  <c:v>0.90370955011838983</c:v>
                </c:pt>
                <c:pt idx="4">
                  <c:v>0.94475138121546964</c:v>
                </c:pt>
                <c:pt idx="5">
                  <c:v>1.0370955011838989</c:v>
                </c:pt>
                <c:pt idx="6">
                  <c:v>0.96606156274664567</c:v>
                </c:pt>
                <c:pt idx="7">
                  <c:v>0.95422257300710334</c:v>
                </c:pt>
                <c:pt idx="8">
                  <c:v>0.83425414364640882</c:v>
                </c:pt>
                <c:pt idx="9">
                  <c:v>0.87371744277821628</c:v>
                </c:pt>
                <c:pt idx="10">
                  <c:v>0.93370165745856359</c:v>
                </c:pt>
                <c:pt idx="11">
                  <c:v>0.87766377269139695</c:v>
                </c:pt>
                <c:pt idx="12">
                  <c:v>0.86661404893449101</c:v>
                </c:pt>
                <c:pt idx="13">
                  <c:v>1.0386740331491713</c:v>
                </c:pt>
                <c:pt idx="14">
                  <c:v>0.83425414364640882</c:v>
                </c:pt>
                <c:pt idx="15">
                  <c:v>0.80268350434096292</c:v>
                </c:pt>
                <c:pt idx="16">
                  <c:v>0.79794790844514596</c:v>
                </c:pt>
                <c:pt idx="17">
                  <c:v>0.86029992107340181</c:v>
                </c:pt>
                <c:pt idx="18">
                  <c:v>0.75848460931333861</c:v>
                </c:pt>
                <c:pt idx="19">
                  <c:v>0.78531965272296755</c:v>
                </c:pt>
                <c:pt idx="20">
                  <c:v>0.78137332280978689</c:v>
                </c:pt>
                <c:pt idx="21">
                  <c:v>0.80110497237569067</c:v>
                </c:pt>
                <c:pt idx="22">
                  <c:v>0.8129439621152329</c:v>
                </c:pt>
                <c:pt idx="23">
                  <c:v>0.81373322809786908</c:v>
                </c:pt>
              </c:numCache>
            </c:numRef>
          </c:yVal>
          <c:smooth val="1"/>
        </c:ser>
        <c:ser>
          <c:idx val="2"/>
          <c:order val="2"/>
          <c:tx>
            <c:v>Season 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Family'!$AF$15:$AF$38</c:f>
              <c:numCache>
                <c:formatCode>0.00</c:formatCode>
                <c:ptCount val="24"/>
                <c:pt idx="0">
                  <c:v>1</c:v>
                </c:pt>
                <c:pt idx="1">
                  <c:v>1.0013774104683195</c:v>
                </c:pt>
                <c:pt idx="2">
                  <c:v>0.92630853994490359</c:v>
                </c:pt>
                <c:pt idx="3">
                  <c:v>0.91184573002754821</c:v>
                </c:pt>
                <c:pt idx="4">
                  <c:v>0.94008264462809921</c:v>
                </c:pt>
                <c:pt idx="5">
                  <c:v>0.89807162534435259</c:v>
                </c:pt>
                <c:pt idx="6">
                  <c:v>0.92079889807162529</c:v>
                </c:pt>
                <c:pt idx="7">
                  <c:v>0.8891184573002755</c:v>
                </c:pt>
                <c:pt idx="8">
                  <c:v>0.87603305785123975</c:v>
                </c:pt>
                <c:pt idx="9">
                  <c:v>0.84022038567493107</c:v>
                </c:pt>
                <c:pt idx="10">
                  <c:v>0.96625344352617082</c:v>
                </c:pt>
                <c:pt idx="11">
                  <c:v>0.83471074380165289</c:v>
                </c:pt>
                <c:pt idx="12">
                  <c:v>0.81887052341597799</c:v>
                </c:pt>
                <c:pt idx="13">
                  <c:v>0.88842975206611574</c:v>
                </c:pt>
                <c:pt idx="14">
                  <c:v>0.77341597796143258</c:v>
                </c:pt>
                <c:pt idx="15">
                  <c:v>0.79476584022038566</c:v>
                </c:pt>
                <c:pt idx="16">
                  <c:v>0.80096418732782382</c:v>
                </c:pt>
                <c:pt idx="17">
                  <c:v>0.73002754820936644</c:v>
                </c:pt>
                <c:pt idx="18">
                  <c:v>0.71280991735537191</c:v>
                </c:pt>
                <c:pt idx="19">
                  <c:v>0.70316804407713507</c:v>
                </c:pt>
                <c:pt idx="20">
                  <c:v>0.69283746556473835</c:v>
                </c:pt>
                <c:pt idx="21">
                  <c:v>0.72865013774104681</c:v>
                </c:pt>
                <c:pt idx="22">
                  <c:v>0.64462809917355368</c:v>
                </c:pt>
                <c:pt idx="23">
                  <c:v>0.69352617079889811</c:v>
                </c:pt>
              </c:numCache>
            </c:numRef>
          </c:yVal>
          <c:smooth val="1"/>
        </c:ser>
        <c:ser>
          <c:idx val="3"/>
          <c:order val="3"/>
          <c:tx>
            <c:v>Season 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15875">
                <a:solidFill>
                  <a:schemeClr val="accent4"/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Family'!$AG$15:$AG$38</c:f>
              <c:numCache>
                <c:formatCode>0.00</c:formatCode>
                <c:ptCount val="24"/>
                <c:pt idx="0">
                  <c:v>1</c:v>
                </c:pt>
                <c:pt idx="1">
                  <c:v>0.83656509695290859</c:v>
                </c:pt>
                <c:pt idx="2">
                  <c:v>0.85249307479224379</c:v>
                </c:pt>
                <c:pt idx="3">
                  <c:v>0.85041551246537395</c:v>
                </c:pt>
                <c:pt idx="4">
                  <c:v>0.86703601108033246</c:v>
                </c:pt>
                <c:pt idx="5">
                  <c:v>0.73545706371191133</c:v>
                </c:pt>
                <c:pt idx="6">
                  <c:v>0.86080332409972304</c:v>
                </c:pt>
                <c:pt idx="7">
                  <c:v>0.82340720221606656</c:v>
                </c:pt>
                <c:pt idx="8">
                  <c:v>0.8317174515235457</c:v>
                </c:pt>
                <c:pt idx="9">
                  <c:v>0.75761772853185594</c:v>
                </c:pt>
                <c:pt idx="10">
                  <c:v>0.83379501385041543</c:v>
                </c:pt>
                <c:pt idx="11">
                  <c:v>0.76246537396121883</c:v>
                </c:pt>
                <c:pt idx="12">
                  <c:v>0.75</c:v>
                </c:pt>
                <c:pt idx="13">
                  <c:v>0.68074792243767313</c:v>
                </c:pt>
                <c:pt idx="14">
                  <c:v>0.69598337950138511</c:v>
                </c:pt>
                <c:pt idx="15">
                  <c:v>0.73545706371191133</c:v>
                </c:pt>
                <c:pt idx="16">
                  <c:v>0.72922437673130192</c:v>
                </c:pt>
                <c:pt idx="17">
                  <c:v>0.62950138504155129</c:v>
                </c:pt>
                <c:pt idx="18">
                  <c:v>0.75346260387811648</c:v>
                </c:pt>
                <c:pt idx="19">
                  <c:v>0.71883656509695304</c:v>
                </c:pt>
                <c:pt idx="20">
                  <c:v>0.66759002770083109</c:v>
                </c:pt>
                <c:pt idx="21">
                  <c:v>0.6246537396121884</c:v>
                </c:pt>
                <c:pt idx="22">
                  <c:v>0.69459833795013848</c:v>
                </c:pt>
                <c:pt idx="23">
                  <c:v>0.69321329639889195</c:v>
                </c:pt>
              </c:numCache>
            </c:numRef>
          </c:yVal>
          <c:smooth val="1"/>
        </c:ser>
        <c:ser>
          <c:idx val="4"/>
          <c:order val="4"/>
          <c:tx>
            <c:v>Season 5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15875">
                <a:solidFill>
                  <a:schemeClr val="accent5"/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Family'!$AH$15:$AH$38</c:f>
              <c:numCache>
                <c:formatCode>0.00</c:formatCode>
                <c:ptCount val="24"/>
                <c:pt idx="0">
                  <c:v>1</c:v>
                </c:pt>
                <c:pt idx="1">
                  <c:v>0.99487617421007679</c:v>
                </c:pt>
                <c:pt idx="2">
                  <c:v>0.94961571306575565</c:v>
                </c:pt>
                <c:pt idx="3">
                  <c:v>0.90862510674637065</c:v>
                </c:pt>
                <c:pt idx="4">
                  <c:v>0.93424423569598625</c:v>
                </c:pt>
                <c:pt idx="5">
                  <c:v>0.88129803586678046</c:v>
                </c:pt>
                <c:pt idx="6">
                  <c:v>0.91801878736122966</c:v>
                </c:pt>
                <c:pt idx="7">
                  <c:v>0.87019641332194697</c:v>
                </c:pt>
                <c:pt idx="8">
                  <c:v>0.80871050384286935</c:v>
                </c:pt>
                <c:pt idx="9">
                  <c:v>0.90606319385140899</c:v>
                </c:pt>
                <c:pt idx="10">
                  <c:v>0.81212638770281798</c:v>
                </c:pt>
                <c:pt idx="11">
                  <c:v>0.7805294619982921</c:v>
                </c:pt>
                <c:pt idx="12">
                  <c:v>0.81895815542271555</c:v>
                </c:pt>
                <c:pt idx="13">
                  <c:v>0.84286934244235678</c:v>
                </c:pt>
                <c:pt idx="14">
                  <c:v>0.7275832621690862</c:v>
                </c:pt>
                <c:pt idx="15">
                  <c:v>0.78736122971818956</c:v>
                </c:pt>
                <c:pt idx="16">
                  <c:v>0.80187873612297178</c:v>
                </c:pt>
                <c:pt idx="17">
                  <c:v>0.86165670367207503</c:v>
                </c:pt>
                <c:pt idx="18">
                  <c:v>0.76857386848847131</c:v>
                </c:pt>
                <c:pt idx="19">
                  <c:v>0.81895815542271555</c:v>
                </c:pt>
                <c:pt idx="20">
                  <c:v>0.71648163962425282</c:v>
                </c:pt>
                <c:pt idx="21">
                  <c:v>0.73014517506404786</c:v>
                </c:pt>
                <c:pt idx="22">
                  <c:v>0.77540563620836889</c:v>
                </c:pt>
                <c:pt idx="23">
                  <c:v>0.89239965841161384</c:v>
                </c:pt>
              </c:numCache>
            </c:numRef>
          </c:yVal>
          <c:smooth val="1"/>
        </c:ser>
        <c:ser>
          <c:idx val="5"/>
          <c:order val="5"/>
          <c:tx>
            <c:v>Season 6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5875">
                <a:solidFill>
                  <a:schemeClr val="accent6"/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Family'!$AI$15:$AI$38</c:f>
              <c:numCache>
                <c:formatCode>0.00</c:formatCode>
                <c:ptCount val="24"/>
                <c:pt idx="0">
                  <c:v>1</c:v>
                </c:pt>
                <c:pt idx="1">
                  <c:v>0.92794376098418274</c:v>
                </c:pt>
                <c:pt idx="2">
                  <c:v>0.90509666080843587</c:v>
                </c:pt>
                <c:pt idx="3">
                  <c:v>0.85325131810193322</c:v>
                </c:pt>
                <c:pt idx="4">
                  <c:v>0.89279437609841827</c:v>
                </c:pt>
                <c:pt idx="5">
                  <c:v>0.8717047451669595</c:v>
                </c:pt>
                <c:pt idx="6">
                  <c:v>0.86379613356766249</c:v>
                </c:pt>
                <c:pt idx="7">
                  <c:v>0.95606326889279436</c:v>
                </c:pt>
                <c:pt idx="8">
                  <c:v>0.7926186291739894</c:v>
                </c:pt>
                <c:pt idx="9">
                  <c:v>0.8514938488576449</c:v>
                </c:pt>
                <c:pt idx="10">
                  <c:v>0.81634446397188032</c:v>
                </c:pt>
                <c:pt idx="11">
                  <c:v>0.82952548330404208</c:v>
                </c:pt>
                <c:pt idx="12">
                  <c:v>0.86731107205623892</c:v>
                </c:pt>
                <c:pt idx="13">
                  <c:v>0.85852372583479775</c:v>
                </c:pt>
                <c:pt idx="14">
                  <c:v>0.77328646748681895</c:v>
                </c:pt>
                <c:pt idx="15">
                  <c:v>0.8189806678383128</c:v>
                </c:pt>
                <c:pt idx="16">
                  <c:v>0.84446397188049194</c:v>
                </c:pt>
                <c:pt idx="17">
                  <c:v>0.76537785588752194</c:v>
                </c:pt>
                <c:pt idx="18">
                  <c:v>0.82864674868189803</c:v>
                </c:pt>
                <c:pt idx="19">
                  <c:v>0.77768014059753943</c:v>
                </c:pt>
                <c:pt idx="20">
                  <c:v>0.70298769771528991</c:v>
                </c:pt>
                <c:pt idx="21">
                  <c:v>0.75307557117750434</c:v>
                </c:pt>
                <c:pt idx="22">
                  <c:v>0.71441124780316345</c:v>
                </c:pt>
                <c:pt idx="23">
                  <c:v>0.63268892794376097</c:v>
                </c:pt>
              </c:numCache>
            </c:numRef>
          </c:yVal>
          <c:smooth val="1"/>
        </c:ser>
        <c:ser>
          <c:idx val="6"/>
          <c:order val="6"/>
          <c:tx>
            <c:v>Season 7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1587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Family'!$AJ$15:$AJ$36</c:f>
              <c:numCache>
                <c:formatCode>0.00</c:formatCode>
                <c:ptCount val="22"/>
                <c:pt idx="0">
                  <c:v>1</c:v>
                </c:pt>
                <c:pt idx="1">
                  <c:v>0.92177589852008457</c:v>
                </c:pt>
                <c:pt idx="2">
                  <c:v>0.84460887949260033</c:v>
                </c:pt>
                <c:pt idx="3">
                  <c:v>0.83298097251585612</c:v>
                </c:pt>
                <c:pt idx="4">
                  <c:v>0.82452431289640582</c:v>
                </c:pt>
                <c:pt idx="5">
                  <c:v>0.86152219873150104</c:v>
                </c:pt>
                <c:pt idx="6">
                  <c:v>0.88583509513742076</c:v>
                </c:pt>
                <c:pt idx="7">
                  <c:v>0.7769556025369978</c:v>
                </c:pt>
                <c:pt idx="8">
                  <c:v>0.86680761099365733</c:v>
                </c:pt>
                <c:pt idx="9">
                  <c:v>0.88266384778012674</c:v>
                </c:pt>
                <c:pt idx="10">
                  <c:v>0.86363636363636354</c:v>
                </c:pt>
                <c:pt idx="11">
                  <c:v>0.82452431289640582</c:v>
                </c:pt>
                <c:pt idx="12">
                  <c:v>0.79069767441860461</c:v>
                </c:pt>
                <c:pt idx="13">
                  <c:v>0.85623678646934454</c:v>
                </c:pt>
                <c:pt idx="14">
                  <c:v>0.86892177589852004</c:v>
                </c:pt>
                <c:pt idx="15">
                  <c:v>0.86046511627906974</c:v>
                </c:pt>
                <c:pt idx="16">
                  <c:v>0.81289640591966172</c:v>
                </c:pt>
                <c:pt idx="17">
                  <c:v>0.79386892177589841</c:v>
                </c:pt>
                <c:pt idx="18">
                  <c:v>0.78646934460887952</c:v>
                </c:pt>
                <c:pt idx="19">
                  <c:v>0.7843551797040168</c:v>
                </c:pt>
                <c:pt idx="20">
                  <c:v>0.75687103594080329</c:v>
                </c:pt>
                <c:pt idx="21">
                  <c:v>0.71775898520084558</c:v>
                </c:pt>
              </c:numCache>
            </c:numRef>
          </c:yVal>
          <c:smooth val="1"/>
        </c:ser>
        <c:ser>
          <c:idx val="7"/>
          <c:order val="7"/>
          <c:tx>
            <c:v>All Data</c:v>
          </c:tx>
          <c:spPr>
            <a:ln>
              <a:noFill/>
            </a:ln>
          </c:spPr>
          <c:marker>
            <c:symbol val="none"/>
          </c:marker>
          <c:trendline>
            <c:spPr>
              <a:ln w="76200"/>
            </c:spPr>
            <c:trendlineType val="linear"/>
            <c:dispRSqr val="1"/>
            <c:dispEq val="1"/>
            <c:trendlineLbl>
              <c:layout>
                <c:manualLayout>
                  <c:x val="-4.5222151874088699E-2"/>
                  <c:y val="0.15192921972827678"/>
                </c:manualLayout>
              </c:layout>
              <c:tx>
                <c:rich>
                  <a:bodyPr/>
                  <a:lstStyle/>
                  <a:p>
                    <a:pPr>
                      <a:defRPr sz="1400"/>
                    </a:pPr>
                    <a:r>
                      <a:rPr lang="en-US" sz="1400" baseline="0"/>
                      <a:t>y = -0.0085x + 0.9236</a:t>
                    </a:r>
                    <a:endParaRPr lang="en-US" sz="1400"/>
                  </a:p>
                </c:rich>
              </c:tx>
              <c:numFmt formatCode="General" sourceLinked="0"/>
            </c:trendlineLbl>
          </c:trendline>
          <c:xVal>
            <c:numRef>
              <c:f>'Modern Family'!$BS$15:$BS$180</c:f>
              <c:numCache>
                <c:formatCode>General</c:formatCode>
                <c:ptCount val="1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13</c:v>
                </c:pt>
                <c:pt idx="61">
                  <c:v>14</c:v>
                </c:pt>
                <c:pt idx="62">
                  <c:v>15</c:v>
                </c:pt>
                <c:pt idx="63">
                  <c:v>16</c:v>
                </c:pt>
                <c:pt idx="64">
                  <c:v>17</c:v>
                </c:pt>
                <c:pt idx="65">
                  <c:v>18</c:v>
                </c:pt>
                <c:pt idx="66">
                  <c:v>19</c:v>
                </c:pt>
                <c:pt idx="67">
                  <c:v>20</c:v>
                </c:pt>
                <c:pt idx="68">
                  <c:v>21</c:v>
                </c:pt>
                <c:pt idx="69">
                  <c:v>22</c:v>
                </c:pt>
                <c:pt idx="70">
                  <c:v>23</c:v>
                </c:pt>
                <c:pt idx="71">
                  <c:v>24</c:v>
                </c:pt>
                <c:pt idx="72">
                  <c:v>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13</c:v>
                </c:pt>
                <c:pt idx="85">
                  <c:v>14</c:v>
                </c:pt>
                <c:pt idx="86">
                  <c:v>15</c:v>
                </c:pt>
                <c:pt idx="87">
                  <c:v>16</c:v>
                </c:pt>
                <c:pt idx="88">
                  <c:v>17</c:v>
                </c:pt>
                <c:pt idx="89">
                  <c:v>18</c:v>
                </c:pt>
                <c:pt idx="90">
                  <c:v>19</c:v>
                </c:pt>
                <c:pt idx="91">
                  <c:v>20</c:v>
                </c:pt>
                <c:pt idx="92">
                  <c:v>21</c:v>
                </c:pt>
                <c:pt idx="93">
                  <c:v>22</c:v>
                </c:pt>
                <c:pt idx="94">
                  <c:v>23</c:v>
                </c:pt>
                <c:pt idx="95">
                  <c:v>24</c:v>
                </c:pt>
                <c:pt idx="96">
                  <c:v>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13</c:v>
                </c:pt>
                <c:pt idx="109">
                  <c:v>14</c:v>
                </c:pt>
                <c:pt idx="110">
                  <c:v>15</c:v>
                </c:pt>
                <c:pt idx="111">
                  <c:v>16</c:v>
                </c:pt>
                <c:pt idx="112">
                  <c:v>17</c:v>
                </c:pt>
                <c:pt idx="113">
                  <c:v>18</c:v>
                </c:pt>
                <c:pt idx="114">
                  <c:v>19</c:v>
                </c:pt>
                <c:pt idx="115">
                  <c:v>20</c:v>
                </c:pt>
                <c:pt idx="116">
                  <c:v>21</c:v>
                </c:pt>
                <c:pt idx="117">
                  <c:v>22</c:v>
                </c:pt>
                <c:pt idx="118">
                  <c:v>23</c:v>
                </c:pt>
                <c:pt idx="119">
                  <c:v>24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13</c:v>
                </c:pt>
                <c:pt idx="157">
                  <c:v>14</c:v>
                </c:pt>
                <c:pt idx="158">
                  <c:v>15</c:v>
                </c:pt>
                <c:pt idx="159">
                  <c:v>16</c:v>
                </c:pt>
                <c:pt idx="160">
                  <c:v>17</c:v>
                </c:pt>
                <c:pt idx="161">
                  <c:v>18</c:v>
                </c:pt>
                <c:pt idx="162">
                  <c:v>19</c:v>
                </c:pt>
                <c:pt idx="163">
                  <c:v>20</c:v>
                </c:pt>
                <c:pt idx="164">
                  <c:v>21</c:v>
                </c:pt>
                <c:pt idx="165">
                  <c:v>22</c:v>
                </c:pt>
              </c:numCache>
            </c:numRef>
          </c:xVal>
          <c:yVal>
            <c:numRef>
              <c:f>'Modern Family'!$BU$15:$BU$180</c:f>
              <c:numCache>
                <c:formatCode>0.00</c:formatCode>
                <c:ptCount val="166"/>
                <c:pt idx="0">
                  <c:v>1</c:v>
                </c:pt>
                <c:pt idx="1">
                  <c:v>0.79285714285714293</c:v>
                </c:pt>
                <c:pt idx="2">
                  <c:v>0.70000000000000007</c:v>
                </c:pt>
                <c:pt idx="3">
                  <c:v>0.74206349206349209</c:v>
                </c:pt>
                <c:pt idx="4">
                  <c:v>0.6873015873015873</c:v>
                </c:pt>
                <c:pt idx="5">
                  <c:v>0.73968253968253972</c:v>
                </c:pt>
                <c:pt idx="6">
                  <c:v>0.696031746031746</c:v>
                </c:pt>
                <c:pt idx="7">
                  <c:v>0.72698412698412707</c:v>
                </c:pt>
                <c:pt idx="8">
                  <c:v>0.56507936507936507</c:v>
                </c:pt>
                <c:pt idx="9">
                  <c:v>0.76746031746031751</c:v>
                </c:pt>
                <c:pt idx="10">
                  <c:v>0.81111111111111123</c:v>
                </c:pt>
                <c:pt idx="11">
                  <c:v>0.62142857142857144</c:v>
                </c:pt>
                <c:pt idx="12">
                  <c:v>0.78015873015873016</c:v>
                </c:pt>
                <c:pt idx="13">
                  <c:v>0.72936507936507933</c:v>
                </c:pt>
                <c:pt idx="14">
                  <c:v>0.78095238095238095</c:v>
                </c:pt>
                <c:pt idx="15">
                  <c:v>0.63571428571428568</c:v>
                </c:pt>
                <c:pt idx="16">
                  <c:v>0.71031746031746024</c:v>
                </c:pt>
                <c:pt idx="17">
                  <c:v>0.72857142857142854</c:v>
                </c:pt>
                <c:pt idx="18">
                  <c:v>0.75476190476190474</c:v>
                </c:pt>
                <c:pt idx="19">
                  <c:v>0.70476190476190481</c:v>
                </c:pt>
                <c:pt idx="20">
                  <c:v>0.7944444444444444</c:v>
                </c:pt>
                <c:pt idx="21">
                  <c:v>0.75238095238095248</c:v>
                </c:pt>
                <c:pt idx="22">
                  <c:v>0.82063492063492061</c:v>
                </c:pt>
                <c:pt idx="23">
                  <c:v>0.80476190476190479</c:v>
                </c:pt>
                <c:pt idx="24">
                  <c:v>1</c:v>
                </c:pt>
                <c:pt idx="25">
                  <c:v>0.94080505130228886</c:v>
                </c:pt>
                <c:pt idx="26">
                  <c:v>0.90292028413575376</c:v>
                </c:pt>
                <c:pt idx="27">
                  <c:v>0.90370955011838983</c:v>
                </c:pt>
                <c:pt idx="28">
                  <c:v>0.94475138121546964</c:v>
                </c:pt>
                <c:pt idx="29">
                  <c:v>1.0370955011838989</c:v>
                </c:pt>
                <c:pt idx="30">
                  <c:v>0.96606156274664567</c:v>
                </c:pt>
                <c:pt idx="31">
                  <c:v>0.95422257300710334</c:v>
                </c:pt>
                <c:pt idx="32">
                  <c:v>0.83425414364640882</c:v>
                </c:pt>
                <c:pt idx="33">
                  <c:v>0.87371744277821628</c:v>
                </c:pt>
                <c:pt idx="34">
                  <c:v>0.93370165745856359</c:v>
                </c:pt>
                <c:pt idx="35">
                  <c:v>0.87766377269139695</c:v>
                </c:pt>
                <c:pt idx="36">
                  <c:v>0.86661404893449101</c:v>
                </c:pt>
                <c:pt idx="37">
                  <c:v>1.0386740331491713</c:v>
                </c:pt>
                <c:pt idx="38">
                  <c:v>0.83425414364640882</c:v>
                </c:pt>
                <c:pt idx="39">
                  <c:v>0.80268350434096292</c:v>
                </c:pt>
                <c:pt idx="40">
                  <c:v>0.79794790844514596</c:v>
                </c:pt>
                <c:pt idx="41">
                  <c:v>0.86029992107340181</c:v>
                </c:pt>
                <c:pt idx="42">
                  <c:v>0.75848460931333861</c:v>
                </c:pt>
                <c:pt idx="43">
                  <c:v>0.78531965272296755</c:v>
                </c:pt>
                <c:pt idx="44">
                  <c:v>0.78137332280978689</c:v>
                </c:pt>
                <c:pt idx="45">
                  <c:v>0.80110497237569067</c:v>
                </c:pt>
                <c:pt idx="46">
                  <c:v>0.8129439621152329</c:v>
                </c:pt>
                <c:pt idx="47">
                  <c:v>0.81373322809786908</c:v>
                </c:pt>
                <c:pt idx="48">
                  <c:v>1</c:v>
                </c:pt>
                <c:pt idx="49">
                  <c:v>1.0013774104683195</c:v>
                </c:pt>
                <c:pt idx="50">
                  <c:v>0.92630853994490359</c:v>
                </c:pt>
                <c:pt idx="51">
                  <c:v>0.91184573002754821</c:v>
                </c:pt>
                <c:pt idx="52">
                  <c:v>0.94008264462809921</c:v>
                </c:pt>
                <c:pt idx="53">
                  <c:v>0.89807162534435259</c:v>
                </c:pt>
                <c:pt idx="54">
                  <c:v>0.92079889807162529</c:v>
                </c:pt>
                <c:pt idx="55">
                  <c:v>0.8891184573002755</c:v>
                </c:pt>
                <c:pt idx="56">
                  <c:v>0.87603305785123975</c:v>
                </c:pt>
                <c:pt idx="57">
                  <c:v>0.84022038567493107</c:v>
                </c:pt>
                <c:pt idx="58">
                  <c:v>0.96625344352617082</c:v>
                </c:pt>
                <c:pt idx="59">
                  <c:v>0.83471074380165289</c:v>
                </c:pt>
                <c:pt idx="60">
                  <c:v>0.81887052341597799</c:v>
                </c:pt>
                <c:pt idx="61">
                  <c:v>0.88842975206611574</c:v>
                </c:pt>
                <c:pt idx="62">
                  <c:v>0.77341597796143258</c:v>
                </c:pt>
                <c:pt idx="63">
                  <c:v>0.79476584022038566</c:v>
                </c:pt>
                <c:pt idx="64">
                  <c:v>0.80096418732782382</c:v>
                </c:pt>
                <c:pt idx="65">
                  <c:v>0.73002754820936644</c:v>
                </c:pt>
                <c:pt idx="66">
                  <c:v>0.71280991735537191</c:v>
                </c:pt>
                <c:pt idx="67">
                  <c:v>0.70316804407713507</c:v>
                </c:pt>
                <c:pt idx="68">
                  <c:v>0.69283746556473835</c:v>
                </c:pt>
                <c:pt idx="69">
                  <c:v>0.72865013774104681</c:v>
                </c:pt>
                <c:pt idx="70">
                  <c:v>0.64462809917355368</c:v>
                </c:pt>
                <c:pt idx="71">
                  <c:v>0.69352617079889811</c:v>
                </c:pt>
                <c:pt idx="72">
                  <c:v>1</c:v>
                </c:pt>
                <c:pt idx="73">
                  <c:v>0.83656509695290859</c:v>
                </c:pt>
                <c:pt idx="74">
                  <c:v>0.85249307479224379</c:v>
                </c:pt>
                <c:pt idx="75">
                  <c:v>0.85041551246537395</c:v>
                </c:pt>
                <c:pt idx="76">
                  <c:v>0.86703601108033246</c:v>
                </c:pt>
                <c:pt idx="77">
                  <c:v>0.73545706371191133</c:v>
                </c:pt>
                <c:pt idx="78">
                  <c:v>0.86080332409972304</c:v>
                </c:pt>
                <c:pt idx="79">
                  <c:v>0.82340720221606656</c:v>
                </c:pt>
                <c:pt idx="80">
                  <c:v>0.8317174515235457</c:v>
                </c:pt>
                <c:pt idx="81">
                  <c:v>0.75761772853185594</c:v>
                </c:pt>
                <c:pt idx="82">
                  <c:v>0.83379501385041543</c:v>
                </c:pt>
                <c:pt idx="83">
                  <c:v>0.76246537396121883</c:v>
                </c:pt>
                <c:pt idx="84">
                  <c:v>0.75</c:v>
                </c:pt>
                <c:pt idx="85">
                  <c:v>0.68074792243767313</c:v>
                </c:pt>
                <c:pt idx="86">
                  <c:v>0.69598337950138511</c:v>
                </c:pt>
                <c:pt idx="87">
                  <c:v>0.73545706371191133</c:v>
                </c:pt>
                <c:pt idx="88">
                  <c:v>0.72922437673130192</c:v>
                </c:pt>
                <c:pt idx="89">
                  <c:v>0.62950138504155129</c:v>
                </c:pt>
                <c:pt idx="90">
                  <c:v>0.75346260387811648</c:v>
                </c:pt>
                <c:pt idx="91">
                  <c:v>0.71883656509695304</c:v>
                </c:pt>
                <c:pt idx="92">
                  <c:v>0.66759002770083109</c:v>
                </c:pt>
                <c:pt idx="93">
                  <c:v>0.6246537396121884</c:v>
                </c:pt>
                <c:pt idx="94">
                  <c:v>0.69459833795013848</c:v>
                </c:pt>
                <c:pt idx="95">
                  <c:v>0.69321329639889195</c:v>
                </c:pt>
                <c:pt idx="96">
                  <c:v>1</c:v>
                </c:pt>
                <c:pt idx="97">
                  <c:v>0.99487617421007679</c:v>
                </c:pt>
                <c:pt idx="98">
                  <c:v>0.94961571306575565</c:v>
                </c:pt>
                <c:pt idx="99">
                  <c:v>0.90862510674637065</c:v>
                </c:pt>
                <c:pt idx="100">
                  <c:v>0.93424423569598625</c:v>
                </c:pt>
                <c:pt idx="101">
                  <c:v>0.88129803586678046</c:v>
                </c:pt>
                <c:pt idx="102">
                  <c:v>0.91801878736122966</c:v>
                </c:pt>
                <c:pt idx="103">
                  <c:v>0.87019641332194697</c:v>
                </c:pt>
                <c:pt idx="104">
                  <c:v>0.80871050384286935</c:v>
                </c:pt>
                <c:pt idx="105">
                  <c:v>0.90606319385140899</c:v>
                </c:pt>
                <c:pt idx="106">
                  <c:v>0.81212638770281798</c:v>
                </c:pt>
                <c:pt idx="107">
                  <c:v>0.7805294619982921</c:v>
                </c:pt>
                <c:pt idx="108">
                  <c:v>0.81895815542271555</c:v>
                </c:pt>
                <c:pt idx="109">
                  <c:v>0.84286934244235678</c:v>
                </c:pt>
                <c:pt idx="110">
                  <c:v>0.7275832621690862</c:v>
                </c:pt>
                <c:pt idx="111">
                  <c:v>0.78736122971818956</c:v>
                </c:pt>
                <c:pt idx="112">
                  <c:v>0.80187873612297178</c:v>
                </c:pt>
                <c:pt idx="113">
                  <c:v>0.86165670367207503</c:v>
                </c:pt>
                <c:pt idx="114">
                  <c:v>0.76857386848847131</c:v>
                </c:pt>
                <c:pt idx="115">
                  <c:v>0.81895815542271555</c:v>
                </c:pt>
                <c:pt idx="116">
                  <c:v>0.71648163962425282</c:v>
                </c:pt>
                <c:pt idx="117">
                  <c:v>0.73014517506404786</c:v>
                </c:pt>
                <c:pt idx="118">
                  <c:v>0.77540563620836889</c:v>
                </c:pt>
                <c:pt idx="119">
                  <c:v>0.89239965841161384</c:v>
                </c:pt>
                <c:pt idx="120">
                  <c:v>1</c:v>
                </c:pt>
                <c:pt idx="121">
                  <c:v>0.92794376098418274</c:v>
                </c:pt>
                <c:pt idx="122">
                  <c:v>0.90509666080843587</c:v>
                </c:pt>
                <c:pt idx="123">
                  <c:v>0.85325131810193322</c:v>
                </c:pt>
                <c:pt idx="124">
                  <c:v>0.89279437609841827</c:v>
                </c:pt>
                <c:pt idx="125">
                  <c:v>0.8717047451669595</c:v>
                </c:pt>
                <c:pt idx="126">
                  <c:v>0.86379613356766249</c:v>
                </c:pt>
                <c:pt idx="127">
                  <c:v>0.95606326889279436</c:v>
                </c:pt>
                <c:pt idx="128">
                  <c:v>0.7926186291739894</c:v>
                </c:pt>
                <c:pt idx="129">
                  <c:v>0.8514938488576449</c:v>
                </c:pt>
                <c:pt idx="130">
                  <c:v>0.81634446397188032</c:v>
                </c:pt>
                <c:pt idx="131">
                  <c:v>0.82952548330404208</c:v>
                </c:pt>
                <c:pt idx="132">
                  <c:v>0.86731107205623892</c:v>
                </c:pt>
                <c:pt idx="133">
                  <c:v>0.85852372583479775</c:v>
                </c:pt>
                <c:pt idx="134">
                  <c:v>0.77328646748681895</c:v>
                </c:pt>
                <c:pt idx="135">
                  <c:v>0.8189806678383128</c:v>
                </c:pt>
                <c:pt idx="136">
                  <c:v>0.84446397188049194</c:v>
                </c:pt>
                <c:pt idx="137">
                  <c:v>0.76537785588752194</c:v>
                </c:pt>
                <c:pt idx="138">
                  <c:v>0.82864674868189803</c:v>
                </c:pt>
                <c:pt idx="139">
                  <c:v>0.77768014059753943</c:v>
                </c:pt>
                <c:pt idx="140">
                  <c:v>0.70298769771528991</c:v>
                </c:pt>
                <c:pt idx="141">
                  <c:v>0.75307557117750434</c:v>
                </c:pt>
                <c:pt idx="142">
                  <c:v>0.71441124780316345</c:v>
                </c:pt>
                <c:pt idx="143">
                  <c:v>0.63268892794376097</c:v>
                </c:pt>
                <c:pt idx="144">
                  <c:v>1</c:v>
                </c:pt>
                <c:pt idx="145">
                  <c:v>0.92177589852008457</c:v>
                </c:pt>
                <c:pt idx="146">
                  <c:v>0.84460887949260033</c:v>
                </c:pt>
                <c:pt idx="147">
                  <c:v>0.83298097251585612</c:v>
                </c:pt>
                <c:pt idx="148">
                  <c:v>0.82452431289640582</c:v>
                </c:pt>
                <c:pt idx="149">
                  <c:v>0.86152219873150104</c:v>
                </c:pt>
                <c:pt idx="150">
                  <c:v>0.88583509513742076</c:v>
                </c:pt>
                <c:pt idx="151">
                  <c:v>0.7769556025369978</c:v>
                </c:pt>
                <c:pt idx="152">
                  <c:v>0.86680761099365733</c:v>
                </c:pt>
                <c:pt idx="153">
                  <c:v>0.88266384778012674</c:v>
                </c:pt>
                <c:pt idx="154">
                  <c:v>0.86363636363636354</c:v>
                </c:pt>
                <c:pt idx="155">
                  <c:v>0.82452431289640582</c:v>
                </c:pt>
                <c:pt idx="156">
                  <c:v>0.79069767441860461</c:v>
                </c:pt>
                <c:pt idx="157">
                  <c:v>0.85623678646934454</c:v>
                </c:pt>
                <c:pt idx="158">
                  <c:v>0.86892177589852004</c:v>
                </c:pt>
                <c:pt idx="159">
                  <c:v>0.86046511627906974</c:v>
                </c:pt>
                <c:pt idx="160">
                  <c:v>0.81289640591966172</c:v>
                </c:pt>
                <c:pt idx="161">
                  <c:v>0.79386892177589841</c:v>
                </c:pt>
                <c:pt idx="162">
                  <c:v>0.78646934460887952</c:v>
                </c:pt>
                <c:pt idx="163">
                  <c:v>0.7843551797040168</c:v>
                </c:pt>
                <c:pt idx="164">
                  <c:v>0.75687103594080329</c:v>
                </c:pt>
                <c:pt idx="165">
                  <c:v>0.71775898520084558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451136"/>
        <c:axId val="151453056"/>
      </c:scatterChart>
      <c:valAx>
        <c:axId val="151451136"/>
        <c:scaling>
          <c:orientation val="minMax"/>
          <c:max val="2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Episode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453056"/>
        <c:crosses val="autoZero"/>
        <c:crossBetween val="midCat"/>
      </c:valAx>
      <c:valAx>
        <c:axId val="151453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Normalized</a:t>
                </a:r>
                <a:r>
                  <a:rPr lang="en-US" sz="1600" baseline="0"/>
                  <a:t> Number Of Viewers By Episode 1 </a:t>
                </a:r>
                <a:endParaRPr lang="en-US" sz="16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451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12650283980895832"/>
          <c:y val="0.517777335821476"/>
          <c:w val="0.15095083696854655"/>
          <c:h val="0.36497103782672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571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Normalized Modern Family Viewership</a:t>
            </a:r>
            <a:r>
              <a:rPr lang="en-US" sz="1800" baseline="0"/>
              <a:t> - Season 6</a:t>
            </a:r>
            <a:endParaRPr lang="en-US" sz="1800"/>
          </a:p>
        </c:rich>
      </c:tx>
      <c:layout>
        <c:manualLayout>
          <c:xMode val="edge"/>
          <c:yMode val="edge"/>
          <c:x val="0.14853600444928958"/>
          <c:y val="1.5264404730282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132180198786627"/>
          <c:y val="9.443668347793592E-2"/>
          <c:w val="0.84269459145475667"/>
          <c:h val="0.78825359007073881"/>
        </c:manualLayout>
      </c:layout>
      <c:scatterChart>
        <c:scatterStyle val="smoothMarker"/>
        <c:varyColors val="0"/>
        <c:ser>
          <c:idx val="5"/>
          <c:order val="0"/>
          <c:tx>
            <c:v>Season 6</c:v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accent6"/>
              </a:solidFill>
              <a:ln w="15875">
                <a:solidFill>
                  <a:schemeClr val="accent6"/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Family'!$AI$15:$AI$38</c:f>
              <c:numCache>
                <c:formatCode>0.00</c:formatCode>
                <c:ptCount val="24"/>
                <c:pt idx="0">
                  <c:v>1</c:v>
                </c:pt>
                <c:pt idx="1">
                  <c:v>0.92794376098418274</c:v>
                </c:pt>
                <c:pt idx="2">
                  <c:v>0.90509666080843587</c:v>
                </c:pt>
                <c:pt idx="3">
                  <c:v>0.85325131810193322</c:v>
                </c:pt>
                <c:pt idx="4">
                  <c:v>0.89279437609841827</c:v>
                </c:pt>
                <c:pt idx="5">
                  <c:v>0.8717047451669595</c:v>
                </c:pt>
                <c:pt idx="6">
                  <c:v>0.86379613356766249</c:v>
                </c:pt>
                <c:pt idx="7">
                  <c:v>0.95606326889279436</c:v>
                </c:pt>
                <c:pt idx="8">
                  <c:v>0.7926186291739894</c:v>
                </c:pt>
                <c:pt idx="9">
                  <c:v>0.8514938488576449</c:v>
                </c:pt>
                <c:pt idx="10">
                  <c:v>0.81634446397188032</c:v>
                </c:pt>
                <c:pt idx="11">
                  <c:v>0.82952548330404208</c:v>
                </c:pt>
                <c:pt idx="12">
                  <c:v>0.86731107205623892</c:v>
                </c:pt>
                <c:pt idx="13">
                  <c:v>0.85852372583479775</c:v>
                </c:pt>
                <c:pt idx="14">
                  <c:v>0.77328646748681895</c:v>
                </c:pt>
                <c:pt idx="15">
                  <c:v>0.8189806678383128</c:v>
                </c:pt>
                <c:pt idx="16">
                  <c:v>0.84446397188049194</c:v>
                </c:pt>
                <c:pt idx="17">
                  <c:v>0.76537785588752194</c:v>
                </c:pt>
                <c:pt idx="18">
                  <c:v>0.82864674868189803</c:v>
                </c:pt>
                <c:pt idx="19">
                  <c:v>0.77768014059753943</c:v>
                </c:pt>
                <c:pt idx="20">
                  <c:v>0.70298769771528991</c:v>
                </c:pt>
                <c:pt idx="21">
                  <c:v>0.75307557117750434</c:v>
                </c:pt>
                <c:pt idx="22">
                  <c:v>0.71441124780316345</c:v>
                </c:pt>
                <c:pt idx="23">
                  <c:v>0.63268892794376097</c:v>
                </c:pt>
              </c:numCache>
            </c:numRef>
          </c:yVal>
          <c:smooth val="1"/>
        </c:ser>
        <c:ser>
          <c:idx val="7"/>
          <c:order val="1"/>
          <c:tx>
            <c:v>All Data</c:v>
          </c:tx>
          <c:spPr>
            <a:ln>
              <a:noFill/>
            </a:ln>
          </c:spPr>
          <c:marker>
            <c:symbol val="none"/>
          </c:marker>
          <c:trendline>
            <c:spPr>
              <a:ln w="76200"/>
            </c:spPr>
            <c:trendlineType val="linear"/>
            <c:dispRSqr val="1"/>
            <c:dispEq val="1"/>
            <c:trendlineLbl>
              <c:layout>
                <c:manualLayout>
                  <c:x val="-4.5222151874088699E-2"/>
                  <c:y val="0.15192921972827678"/>
                </c:manualLayout>
              </c:layout>
              <c:tx>
                <c:rich>
                  <a:bodyPr/>
                  <a:lstStyle/>
                  <a:p>
                    <a:pPr>
                      <a:defRPr sz="1400"/>
                    </a:pPr>
                    <a:r>
                      <a:rPr lang="en-US" baseline="0"/>
                      <a:t>y = -0.0085x + 0.9236
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'Modern Family'!$BS$15:$BS$180</c:f>
              <c:numCache>
                <c:formatCode>General</c:formatCode>
                <c:ptCount val="1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13</c:v>
                </c:pt>
                <c:pt idx="61">
                  <c:v>14</c:v>
                </c:pt>
                <c:pt idx="62">
                  <c:v>15</c:v>
                </c:pt>
                <c:pt idx="63">
                  <c:v>16</c:v>
                </c:pt>
                <c:pt idx="64">
                  <c:v>17</c:v>
                </c:pt>
                <c:pt idx="65">
                  <c:v>18</c:v>
                </c:pt>
                <c:pt idx="66">
                  <c:v>19</c:v>
                </c:pt>
                <c:pt idx="67">
                  <c:v>20</c:v>
                </c:pt>
                <c:pt idx="68">
                  <c:v>21</c:v>
                </c:pt>
                <c:pt idx="69">
                  <c:v>22</c:v>
                </c:pt>
                <c:pt idx="70">
                  <c:v>23</c:v>
                </c:pt>
                <c:pt idx="71">
                  <c:v>24</c:v>
                </c:pt>
                <c:pt idx="72">
                  <c:v>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13</c:v>
                </c:pt>
                <c:pt idx="85">
                  <c:v>14</c:v>
                </c:pt>
                <c:pt idx="86">
                  <c:v>15</c:v>
                </c:pt>
                <c:pt idx="87">
                  <c:v>16</c:v>
                </c:pt>
                <c:pt idx="88">
                  <c:v>17</c:v>
                </c:pt>
                <c:pt idx="89">
                  <c:v>18</c:v>
                </c:pt>
                <c:pt idx="90">
                  <c:v>19</c:v>
                </c:pt>
                <c:pt idx="91">
                  <c:v>20</c:v>
                </c:pt>
                <c:pt idx="92">
                  <c:v>21</c:v>
                </c:pt>
                <c:pt idx="93">
                  <c:v>22</c:v>
                </c:pt>
                <c:pt idx="94">
                  <c:v>23</c:v>
                </c:pt>
                <c:pt idx="95">
                  <c:v>24</c:v>
                </c:pt>
                <c:pt idx="96">
                  <c:v>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13</c:v>
                </c:pt>
                <c:pt idx="109">
                  <c:v>14</c:v>
                </c:pt>
                <c:pt idx="110">
                  <c:v>15</c:v>
                </c:pt>
                <c:pt idx="111">
                  <c:v>16</c:v>
                </c:pt>
                <c:pt idx="112">
                  <c:v>17</c:v>
                </c:pt>
                <c:pt idx="113">
                  <c:v>18</c:v>
                </c:pt>
                <c:pt idx="114">
                  <c:v>19</c:v>
                </c:pt>
                <c:pt idx="115">
                  <c:v>20</c:v>
                </c:pt>
                <c:pt idx="116">
                  <c:v>21</c:v>
                </c:pt>
                <c:pt idx="117">
                  <c:v>22</c:v>
                </c:pt>
                <c:pt idx="118">
                  <c:v>23</c:v>
                </c:pt>
                <c:pt idx="119">
                  <c:v>24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13</c:v>
                </c:pt>
                <c:pt idx="157">
                  <c:v>14</c:v>
                </c:pt>
                <c:pt idx="158">
                  <c:v>15</c:v>
                </c:pt>
                <c:pt idx="159">
                  <c:v>16</c:v>
                </c:pt>
                <c:pt idx="160">
                  <c:v>17</c:v>
                </c:pt>
                <c:pt idx="161">
                  <c:v>18</c:v>
                </c:pt>
                <c:pt idx="162">
                  <c:v>19</c:v>
                </c:pt>
                <c:pt idx="163">
                  <c:v>20</c:v>
                </c:pt>
                <c:pt idx="164">
                  <c:v>21</c:v>
                </c:pt>
                <c:pt idx="165">
                  <c:v>22</c:v>
                </c:pt>
              </c:numCache>
            </c:numRef>
          </c:xVal>
          <c:yVal>
            <c:numRef>
              <c:f>'Modern Family'!$BU$15:$BU$180</c:f>
              <c:numCache>
                <c:formatCode>0.00</c:formatCode>
                <c:ptCount val="166"/>
                <c:pt idx="0">
                  <c:v>1</c:v>
                </c:pt>
                <c:pt idx="1">
                  <c:v>0.79285714285714293</c:v>
                </c:pt>
                <c:pt idx="2">
                  <c:v>0.70000000000000007</c:v>
                </c:pt>
                <c:pt idx="3">
                  <c:v>0.74206349206349209</c:v>
                </c:pt>
                <c:pt idx="4">
                  <c:v>0.6873015873015873</c:v>
                </c:pt>
                <c:pt idx="5">
                  <c:v>0.73968253968253972</c:v>
                </c:pt>
                <c:pt idx="6">
                  <c:v>0.696031746031746</c:v>
                </c:pt>
                <c:pt idx="7">
                  <c:v>0.72698412698412707</c:v>
                </c:pt>
                <c:pt idx="8">
                  <c:v>0.56507936507936507</c:v>
                </c:pt>
                <c:pt idx="9">
                  <c:v>0.76746031746031751</c:v>
                </c:pt>
                <c:pt idx="10">
                  <c:v>0.81111111111111123</c:v>
                </c:pt>
                <c:pt idx="11">
                  <c:v>0.62142857142857144</c:v>
                </c:pt>
                <c:pt idx="12">
                  <c:v>0.78015873015873016</c:v>
                </c:pt>
                <c:pt idx="13">
                  <c:v>0.72936507936507933</c:v>
                </c:pt>
                <c:pt idx="14">
                  <c:v>0.78095238095238095</c:v>
                </c:pt>
                <c:pt idx="15">
                  <c:v>0.63571428571428568</c:v>
                </c:pt>
                <c:pt idx="16">
                  <c:v>0.71031746031746024</c:v>
                </c:pt>
                <c:pt idx="17">
                  <c:v>0.72857142857142854</c:v>
                </c:pt>
                <c:pt idx="18">
                  <c:v>0.75476190476190474</c:v>
                </c:pt>
                <c:pt idx="19">
                  <c:v>0.70476190476190481</c:v>
                </c:pt>
                <c:pt idx="20">
                  <c:v>0.7944444444444444</c:v>
                </c:pt>
                <c:pt idx="21">
                  <c:v>0.75238095238095248</c:v>
                </c:pt>
                <c:pt idx="22">
                  <c:v>0.82063492063492061</c:v>
                </c:pt>
                <c:pt idx="23">
                  <c:v>0.80476190476190479</c:v>
                </c:pt>
                <c:pt idx="24">
                  <c:v>1</c:v>
                </c:pt>
                <c:pt idx="25">
                  <c:v>0.94080505130228886</c:v>
                </c:pt>
                <c:pt idx="26">
                  <c:v>0.90292028413575376</c:v>
                </c:pt>
                <c:pt idx="27">
                  <c:v>0.90370955011838983</c:v>
                </c:pt>
                <c:pt idx="28">
                  <c:v>0.94475138121546964</c:v>
                </c:pt>
                <c:pt idx="29">
                  <c:v>1.0370955011838989</c:v>
                </c:pt>
                <c:pt idx="30">
                  <c:v>0.96606156274664567</c:v>
                </c:pt>
                <c:pt idx="31">
                  <c:v>0.95422257300710334</c:v>
                </c:pt>
                <c:pt idx="32">
                  <c:v>0.83425414364640882</c:v>
                </c:pt>
                <c:pt idx="33">
                  <c:v>0.87371744277821628</c:v>
                </c:pt>
                <c:pt idx="34">
                  <c:v>0.93370165745856359</c:v>
                </c:pt>
                <c:pt idx="35">
                  <c:v>0.87766377269139695</c:v>
                </c:pt>
                <c:pt idx="36">
                  <c:v>0.86661404893449101</c:v>
                </c:pt>
                <c:pt idx="37">
                  <c:v>1.0386740331491713</c:v>
                </c:pt>
                <c:pt idx="38">
                  <c:v>0.83425414364640882</c:v>
                </c:pt>
                <c:pt idx="39">
                  <c:v>0.80268350434096292</c:v>
                </c:pt>
                <c:pt idx="40">
                  <c:v>0.79794790844514596</c:v>
                </c:pt>
                <c:pt idx="41">
                  <c:v>0.86029992107340181</c:v>
                </c:pt>
                <c:pt idx="42">
                  <c:v>0.75848460931333861</c:v>
                </c:pt>
                <c:pt idx="43">
                  <c:v>0.78531965272296755</c:v>
                </c:pt>
                <c:pt idx="44">
                  <c:v>0.78137332280978689</c:v>
                </c:pt>
                <c:pt idx="45">
                  <c:v>0.80110497237569067</c:v>
                </c:pt>
                <c:pt idx="46">
                  <c:v>0.8129439621152329</c:v>
                </c:pt>
                <c:pt idx="47">
                  <c:v>0.81373322809786908</c:v>
                </c:pt>
                <c:pt idx="48">
                  <c:v>1</c:v>
                </c:pt>
                <c:pt idx="49">
                  <c:v>1.0013774104683195</c:v>
                </c:pt>
                <c:pt idx="50">
                  <c:v>0.92630853994490359</c:v>
                </c:pt>
                <c:pt idx="51">
                  <c:v>0.91184573002754821</c:v>
                </c:pt>
                <c:pt idx="52">
                  <c:v>0.94008264462809921</c:v>
                </c:pt>
                <c:pt idx="53">
                  <c:v>0.89807162534435259</c:v>
                </c:pt>
                <c:pt idx="54">
                  <c:v>0.92079889807162529</c:v>
                </c:pt>
                <c:pt idx="55">
                  <c:v>0.8891184573002755</c:v>
                </c:pt>
                <c:pt idx="56">
                  <c:v>0.87603305785123975</c:v>
                </c:pt>
                <c:pt idx="57">
                  <c:v>0.84022038567493107</c:v>
                </c:pt>
                <c:pt idx="58">
                  <c:v>0.96625344352617082</c:v>
                </c:pt>
                <c:pt idx="59">
                  <c:v>0.83471074380165289</c:v>
                </c:pt>
                <c:pt idx="60">
                  <c:v>0.81887052341597799</c:v>
                </c:pt>
                <c:pt idx="61">
                  <c:v>0.88842975206611574</c:v>
                </c:pt>
                <c:pt idx="62">
                  <c:v>0.77341597796143258</c:v>
                </c:pt>
                <c:pt idx="63">
                  <c:v>0.79476584022038566</c:v>
                </c:pt>
                <c:pt idx="64">
                  <c:v>0.80096418732782382</c:v>
                </c:pt>
                <c:pt idx="65">
                  <c:v>0.73002754820936644</c:v>
                </c:pt>
                <c:pt idx="66">
                  <c:v>0.71280991735537191</c:v>
                </c:pt>
                <c:pt idx="67">
                  <c:v>0.70316804407713507</c:v>
                </c:pt>
                <c:pt idx="68">
                  <c:v>0.69283746556473835</c:v>
                </c:pt>
                <c:pt idx="69">
                  <c:v>0.72865013774104681</c:v>
                </c:pt>
                <c:pt idx="70">
                  <c:v>0.64462809917355368</c:v>
                </c:pt>
                <c:pt idx="71">
                  <c:v>0.69352617079889811</c:v>
                </c:pt>
                <c:pt idx="72">
                  <c:v>1</c:v>
                </c:pt>
                <c:pt idx="73">
                  <c:v>0.83656509695290859</c:v>
                </c:pt>
                <c:pt idx="74">
                  <c:v>0.85249307479224379</c:v>
                </c:pt>
                <c:pt idx="75">
                  <c:v>0.85041551246537395</c:v>
                </c:pt>
                <c:pt idx="76">
                  <c:v>0.86703601108033246</c:v>
                </c:pt>
                <c:pt idx="77">
                  <c:v>0.73545706371191133</c:v>
                </c:pt>
                <c:pt idx="78">
                  <c:v>0.86080332409972304</c:v>
                </c:pt>
                <c:pt idx="79">
                  <c:v>0.82340720221606656</c:v>
                </c:pt>
                <c:pt idx="80">
                  <c:v>0.8317174515235457</c:v>
                </c:pt>
                <c:pt idx="81">
                  <c:v>0.75761772853185594</c:v>
                </c:pt>
                <c:pt idx="82">
                  <c:v>0.83379501385041543</c:v>
                </c:pt>
                <c:pt idx="83">
                  <c:v>0.76246537396121883</c:v>
                </c:pt>
                <c:pt idx="84">
                  <c:v>0.75</c:v>
                </c:pt>
                <c:pt idx="85">
                  <c:v>0.68074792243767313</c:v>
                </c:pt>
                <c:pt idx="86">
                  <c:v>0.69598337950138511</c:v>
                </c:pt>
                <c:pt idx="87">
                  <c:v>0.73545706371191133</c:v>
                </c:pt>
                <c:pt idx="88">
                  <c:v>0.72922437673130192</c:v>
                </c:pt>
                <c:pt idx="89">
                  <c:v>0.62950138504155129</c:v>
                </c:pt>
                <c:pt idx="90">
                  <c:v>0.75346260387811648</c:v>
                </c:pt>
                <c:pt idx="91">
                  <c:v>0.71883656509695304</c:v>
                </c:pt>
                <c:pt idx="92">
                  <c:v>0.66759002770083109</c:v>
                </c:pt>
                <c:pt idx="93">
                  <c:v>0.6246537396121884</c:v>
                </c:pt>
                <c:pt idx="94">
                  <c:v>0.69459833795013848</c:v>
                </c:pt>
                <c:pt idx="95">
                  <c:v>0.69321329639889195</c:v>
                </c:pt>
                <c:pt idx="96">
                  <c:v>1</c:v>
                </c:pt>
                <c:pt idx="97">
                  <c:v>0.99487617421007679</c:v>
                </c:pt>
                <c:pt idx="98">
                  <c:v>0.94961571306575565</c:v>
                </c:pt>
                <c:pt idx="99">
                  <c:v>0.90862510674637065</c:v>
                </c:pt>
                <c:pt idx="100">
                  <c:v>0.93424423569598625</c:v>
                </c:pt>
                <c:pt idx="101">
                  <c:v>0.88129803586678046</c:v>
                </c:pt>
                <c:pt idx="102">
                  <c:v>0.91801878736122966</c:v>
                </c:pt>
                <c:pt idx="103">
                  <c:v>0.87019641332194697</c:v>
                </c:pt>
                <c:pt idx="104">
                  <c:v>0.80871050384286935</c:v>
                </c:pt>
                <c:pt idx="105">
                  <c:v>0.90606319385140899</c:v>
                </c:pt>
                <c:pt idx="106">
                  <c:v>0.81212638770281798</c:v>
                </c:pt>
                <c:pt idx="107">
                  <c:v>0.7805294619982921</c:v>
                </c:pt>
                <c:pt idx="108">
                  <c:v>0.81895815542271555</c:v>
                </c:pt>
                <c:pt idx="109">
                  <c:v>0.84286934244235678</c:v>
                </c:pt>
                <c:pt idx="110">
                  <c:v>0.7275832621690862</c:v>
                </c:pt>
                <c:pt idx="111">
                  <c:v>0.78736122971818956</c:v>
                </c:pt>
                <c:pt idx="112">
                  <c:v>0.80187873612297178</c:v>
                </c:pt>
                <c:pt idx="113">
                  <c:v>0.86165670367207503</c:v>
                </c:pt>
                <c:pt idx="114">
                  <c:v>0.76857386848847131</c:v>
                </c:pt>
                <c:pt idx="115">
                  <c:v>0.81895815542271555</c:v>
                </c:pt>
                <c:pt idx="116">
                  <c:v>0.71648163962425282</c:v>
                </c:pt>
                <c:pt idx="117">
                  <c:v>0.73014517506404786</c:v>
                </c:pt>
                <c:pt idx="118">
                  <c:v>0.77540563620836889</c:v>
                </c:pt>
                <c:pt idx="119">
                  <c:v>0.89239965841161384</c:v>
                </c:pt>
                <c:pt idx="120">
                  <c:v>1</c:v>
                </c:pt>
                <c:pt idx="121">
                  <c:v>0.92794376098418274</c:v>
                </c:pt>
                <c:pt idx="122">
                  <c:v>0.90509666080843587</c:v>
                </c:pt>
                <c:pt idx="123">
                  <c:v>0.85325131810193322</c:v>
                </c:pt>
                <c:pt idx="124">
                  <c:v>0.89279437609841827</c:v>
                </c:pt>
                <c:pt idx="125">
                  <c:v>0.8717047451669595</c:v>
                </c:pt>
                <c:pt idx="126">
                  <c:v>0.86379613356766249</c:v>
                </c:pt>
                <c:pt idx="127">
                  <c:v>0.95606326889279436</c:v>
                </c:pt>
                <c:pt idx="128">
                  <c:v>0.7926186291739894</c:v>
                </c:pt>
                <c:pt idx="129">
                  <c:v>0.8514938488576449</c:v>
                </c:pt>
                <c:pt idx="130">
                  <c:v>0.81634446397188032</c:v>
                </c:pt>
                <c:pt idx="131">
                  <c:v>0.82952548330404208</c:v>
                </c:pt>
                <c:pt idx="132">
                  <c:v>0.86731107205623892</c:v>
                </c:pt>
                <c:pt idx="133">
                  <c:v>0.85852372583479775</c:v>
                </c:pt>
                <c:pt idx="134">
                  <c:v>0.77328646748681895</c:v>
                </c:pt>
                <c:pt idx="135">
                  <c:v>0.8189806678383128</c:v>
                </c:pt>
                <c:pt idx="136">
                  <c:v>0.84446397188049194</c:v>
                </c:pt>
                <c:pt idx="137">
                  <c:v>0.76537785588752194</c:v>
                </c:pt>
                <c:pt idx="138">
                  <c:v>0.82864674868189803</c:v>
                </c:pt>
                <c:pt idx="139">
                  <c:v>0.77768014059753943</c:v>
                </c:pt>
                <c:pt idx="140">
                  <c:v>0.70298769771528991</c:v>
                </c:pt>
                <c:pt idx="141">
                  <c:v>0.75307557117750434</c:v>
                </c:pt>
                <c:pt idx="142">
                  <c:v>0.71441124780316345</c:v>
                </c:pt>
                <c:pt idx="143">
                  <c:v>0.63268892794376097</c:v>
                </c:pt>
                <c:pt idx="144">
                  <c:v>1</c:v>
                </c:pt>
                <c:pt idx="145">
                  <c:v>0.92177589852008457</c:v>
                </c:pt>
                <c:pt idx="146">
                  <c:v>0.84460887949260033</c:v>
                </c:pt>
                <c:pt idx="147">
                  <c:v>0.83298097251585612</c:v>
                </c:pt>
                <c:pt idx="148">
                  <c:v>0.82452431289640582</c:v>
                </c:pt>
                <c:pt idx="149">
                  <c:v>0.86152219873150104</c:v>
                </c:pt>
                <c:pt idx="150">
                  <c:v>0.88583509513742076</c:v>
                </c:pt>
                <c:pt idx="151">
                  <c:v>0.7769556025369978</c:v>
                </c:pt>
                <c:pt idx="152">
                  <c:v>0.86680761099365733</c:v>
                </c:pt>
                <c:pt idx="153">
                  <c:v>0.88266384778012674</c:v>
                </c:pt>
                <c:pt idx="154">
                  <c:v>0.86363636363636354</c:v>
                </c:pt>
                <c:pt idx="155">
                  <c:v>0.82452431289640582</c:v>
                </c:pt>
                <c:pt idx="156">
                  <c:v>0.79069767441860461</c:v>
                </c:pt>
                <c:pt idx="157">
                  <c:v>0.85623678646934454</c:v>
                </c:pt>
                <c:pt idx="158">
                  <c:v>0.86892177589852004</c:v>
                </c:pt>
                <c:pt idx="159">
                  <c:v>0.86046511627906974</c:v>
                </c:pt>
                <c:pt idx="160">
                  <c:v>0.81289640591966172</c:v>
                </c:pt>
                <c:pt idx="161">
                  <c:v>0.79386892177589841</c:v>
                </c:pt>
                <c:pt idx="162">
                  <c:v>0.78646934460887952</c:v>
                </c:pt>
                <c:pt idx="163">
                  <c:v>0.7843551797040168</c:v>
                </c:pt>
                <c:pt idx="164">
                  <c:v>0.75687103594080329</c:v>
                </c:pt>
                <c:pt idx="165">
                  <c:v>0.71775898520084558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378176"/>
        <c:axId val="151489920"/>
      </c:scatterChart>
      <c:valAx>
        <c:axId val="151378176"/>
        <c:scaling>
          <c:orientation val="minMax"/>
          <c:max val="2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Episode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489920"/>
        <c:crosses val="autoZero"/>
        <c:crossBetween val="midCat"/>
      </c:valAx>
      <c:valAx>
        <c:axId val="151489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Normalized</a:t>
                </a:r>
                <a:r>
                  <a:rPr lang="en-US" sz="1600" baseline="0"/>
                  <a:t> Number Of Viewers By Episode 1 </a:t>
                </a:r>
                <a:endParaRPr lang="en-US" sz="16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378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2650283980895832"/>
          <c:y val="0.517777335821476"/>
          <c:w val="0.15137739892023"/>
          <c:h val="0.36497103782672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571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7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700"/>
              <a:t>Normalized Modern Family Viewership</a:t>
            </a:r>
            <a:r>
              <a:rPr lang="en-US" sz="1700" baseline="0"/>
              <a:t> - Season 2 &amp; 4</a:t>
            </a:r>
            <a:endParaRPr lang="en-US" sz="1700"/>
          </a:p>
        </c:rich>
      </c:tx>
      <c:layout>
        <c:manualLayout>
          <c:xMode val="edge"/>
          <c:yMode val="edge"/>
          <c:x val="0.14853600444928958"/>
          <c:y val="1.5264404730282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132180198786627"/>
          <c:y val="9.443668347793592E-2"/>
          <c:w val="0.84269459145475667"/>
          <c:h val="0.78825359007073881"/>
        </c:manualLayout>
      </c:layout>
      <c:scatterChart>
        <c:scatterStyle val="smoothMarker"/>
        <c:varyColors val="0"/>
        <c:ser>
          <c:idx val="1"/>
          <c:order val="0"/>
          <c:tx>
            <c:v>Season 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15875">
                <a:solidFill>
                  <a:schemeClr val="accent2"/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Family'!$AE$15:$AE$38</c:f>
              <c:numCache>
                <c:formatCode>0.00</c:formatCode>
                <c:ptCount val="24"/>
                <c:pt idx="0">
                  <c:v>1</c:v>
                </c:pt>
                <c:pt idx="1">
                  <c:v>0.94080505130228886</c:v>
                </c:pt>
                <c:pt idx="2">
                  <c:v>0.90292028413575376</c:v>
                </c:pt>
                <c:pt idx="3">
                  <c:v>0.90370955011838983</c:v>
                </c:pt>
                <c:pt idx="4">
                  <c:v>0.94475138121546964</c:v>
                </c:pt>
                <c:pt idx="5">
                  <c:v>1.0370955011838989</c:v>
                </c:pt>
                <c:pt idx="6">
                  <c:v>0.96606156274664567</c:v>
                </c:pt>
                <c:pt idx="7">
                  <c:v>0.95422257300710334</c:v>
                </c:pt>
                <c:pt idx="8">
                  <c:v>0.83425414364640882</c:v>
                </c:pt>
                <c:pt idx="9">
                  <c:v>0.87371744277821628</c:v>
                </c:pt>
                <c:pt idx="10">
                  <c:v>0.93370165745856359</c:v>
                </c:pt>
                <c:pt idx="11">
                  <c:v>0.87766377269139695</c:v>
                </c:pt>
                <c:pt idx="12">
                  <c:v>0.86661404893449101</c:v>
                </c:pt>
                <c:pt idx="13">
                  <c:v>1.0386740331491713</c:v>
                </c:pt>
                <c:pt idx="14">
                  <c:v>0.83425414364640882</c:v>
                </c:pt>
                <c:pt idx="15">
                  <c:v>0.80268350434096292</c:v>
                </c:pt>
                <c:pt idx="16">
                  <c:v>0.79794790844514596</c:v>
                </c:pt>
                <c:pt idx="17">
                  <c:v>0.86029992107340181</c:v>
                </c:pt>
                <c:pt idx="18">
                  <c:v>0.75848460931333861</c:v>
                </c:pt>
                <c:pt idx="19">
                  <c:v>0.78531965272296755</c:v>
                </c:pt>
                <c:pt idx="20">
                  <c:v>0.78137332280978689</c:v>
                </c:pt>
                <c:pt idx="21">
                  <c:v>0.80110497237569067</c:v>
                </c:pt>
                <c:pt idx="22">
                  <c:v>0.8129439621152329</c:v>
                </c:pt>
                <c:pt idx="23">
                  <c:v>0.81373322809786908</c:v>
                </c:pt>
              </c:numCache>
            </c:numRef>
          </c:yVal>
          <c:smooth val="1"/>
        </c:ser>
        <c:ser>
          <c:idx val="3"/>
          <c:order val="1"/>
          <c:tx>
            <c:v>Season 4</c:v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square"/>
            <c:size val="8"/>
            <c:spPr>
              <a:solidFill>
                <a:schemeClr val="accent4"/>
              </a:solidFill>
              <a:ln w="15875">
                <a:solidFill>
                  <a:schemeClr val="accent4"/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Family'!$AG$15:$AG$38</c:f>
              <c:numCache>
                <c:formatCode>0.00</c:formatCode>
                <c:ptCount val="24"/>
                <c:pt idx="0">
                  <c:v>1</c:v>
                </c:pt>
                <c:pt idx="1">
                  <c:v>0.83656509695290859</c:v>
                </c:pt>
                <c:pt idx="2">
                  <c:v>0.85249307479224379</c:v>
                </c:pt>
                <c:pt idx="3">
                  <c:v>0.85041551246537395</c:v>
                </c:pt>
                <c:pt idx="4">
                  <c:v>0.86703601108033246</c:v>
                </c:pt>
                <c:pt idx="5">
                  <c:v>0.73545706371191133</c:v>
                </c:pt>
                <c:pt idx="6">
                  <c:v>0.86080332409972304</c:v>
                </c:pt>
                <c:pt idx="7">
                  <c:v>0.82340720221606656</c:v>
                </c:pt>
                <c:pt idx="8">
                  <c:v>0.8317174515235457</c:v>
                </c:pt>
                <c:pt idx="9">
                  <c:v>0.75761772853185594</c:v>
                </c:pt>
                <c:pt idx="10">
                  <c:v>0.83379501385041543</c:v>
                </c:pt>
                <c:pt idx="11">
                  <c:v>0.76246537396121883</c:v>
                </c:pt>
                <c:pt idx="12">
                  <c:v>0.75</c:v>
                </c:pt>
                <c:pt idx="13">
                  <c:v>0.68074792243767313</c:v>
                </c:pt>
                <c:pt idx="14">
                  <c:v>0.69598337950138511</c:v>
                </c:pt>
                <c:pt idx="15">
                  <c:v>0.73545706371191133</c:v>
                </c:pt>
                <c:pt idx="16">
                  <c:v>0.72922437673130192</c:v>
                </c:pt>
                <c:pt idx="17">
                  <c:v>0.62950138504155129</c:v>
                </c:pt>
                <c:pt idx="18">
                  <c:v>0.75346260387811648</c:v>
                </c:pt>
                <c:pt idx="19">
                  <c:v>0.71883656509695304</c:v>
                </c:pt>
                <c:pt idx="20">
                  <c:v>0.66759002770083109</c:v>
                </c:pt>
                <c:pt idx="21">
                  <c:v>0.6246537396121884</c:v>
                </c:pt>
                <c:pt idx="22">
                  <c:v>0.69459833795013848</c:v>
                </c:pt>
                <c:pt idx="23">
                  <c:v>0.69321329639889195</c:v>
                </c:pt>
              </c:numCache>
            </c:numRef>
          </c:yVal>
          <c:smooth val="1"/>
        </c:ser>
        <c:ser>
          <c:idx val="7"/>
          <c:order val="2"/>
          <c:tx>
            <c:v>All Data</c:v>
          </c:tx>
          <c:spPr>
            <a:ln>
              <a:noFill/>
            </a:ln>
          </c:spPr>
          <c:marker>
            <c:symbol val="none"/>
          </c:marker>
          <c:trendline>
            <c:spPr>
              <a:ln w="76200"/>
            </c:spPr>
            <c:trendlineType val="linear"/>
            <c:dispRSqr val="1"/>
            <c:dispEq val="1"/>
            <c:trendlineLbl>
              <c:layout>
                <c:manualLayout>
                  <c:x val="-4.5222151874088699E-2"/>
                  <c:y val="0.15192921972827678"/>
                </c:manualLayout>
              </c:layout>
              <c:tx>
                <c:rich>
                  <a:bodyPr/>
                  <a:lstStyle/>
                  <a:p>
                    <a:pPr>
                      <a:defRPr sz="1400"/>
                    </a:pPr>
                    <a:r>
                      <a:rPr lang="en-US" sz="1400" baseline="0"/>
                      <a:t>y = -0.0085x + 0.9236</a:t>
                    </a:r>
                    <a:endParaRPr lang="en-US" sz="1400"/>
                  </a:p>
                </c:rich>
              </c:tx>
              <c:numFmt formatCode="General" sourceLinked="0"/>
            </c:trendlineLbl>
          </c:trendline>
          <c:xVal>
            <c:numRef>
              <c:f>'Modern Family'!$BS$15:$BS$180</c:f>
              <c:numCache>
                <c:formatCode>General</c:formatCode>
                <c:ptCount val="1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13</c:v>
                </c:pt>
                <c:pt idx="61">
                  <c:v>14</c:v>
                </c:pt>
                <c:pt idx="62">
                  <c:v>15</c:v>
                </c:pt>
                <c:pt idx="63">
                  <c:v>16</c:v>
                </c:pt>
                <c:pt idx="64">
                  <c:v>17</c:v>
                </c:pt>
                <c:pt idx="65">
                  <c:v>18</c:v>
                </c:pt>
                <c:pt idx="66">
                  <c:v>19</c:v>
                </c:pt>
                <c:pt idx="67">
                  <c:v>20</c:v>
                </c:pt>
                <c:pt idx="68">
                  <c:v>21</c:v>
                </c:pt>
                <c:pt idx="69">
                  <c:v>22</c:v>
                </c:pt>
                <c:pt idx="70">
                  <c:v>23</c:v>
                </c:pt>
                <c:pt idx="71">
                  <c:v>24</c:v>
                </c:pt>
                <c:pt idx="72">
                  <c:v>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13</c:v>
                </c:pt>
                <c:pt idx="85">
                  <c:v>14</c:v>
                </c:pt>
                <c:pt idx="86">
                  <c:v>15</c:v>
                </c:pt>
                <c:pt idx="87">
                  <c:v>16</c:v>
                </c:pt>
                <c:pt idx="88">
                  <c:v>17</c:v>
                </c:pt>
                <c:pt idx="89">
                  <c:v>18</c:v>
                </c:pt>
                <c:pt idx="90">
                  <c:v>19</c:v>
                </c:pt>
                <c:pt idx="91">
                  <c:v>20</c:v>
                </c:pt>
                <c:pt idx="92">
                  <c:v>21</c:v>
                </c:pt>
                <c:pt idx="93">
                  <c:v>22</c:v>
                </c:pt>
                <c:pt idx="94">
                  <c:v>23</c:v>
                </c:pt>
                <c:pt idx="95">
                  <c:v>24</c:v>
                </c:pt>
                <c:pt idx="96">
                  <c:v>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13</c:v>
                </c:pt>
                <c:pt idx="109">
                  <c:v>14</c:v>
                </c:pt>
                <c:pt idx="110">
                  <c:v>15</c:v>
                </c:pt>
                <c:pt idx="111">
                  <c:v>16</c:v>
                </c:pt>
                <c:pt idx="112">
                  <c:v>17</c:v>
                </c:pt>
                <c:pt idx="113">
                  <c:v>18</c:v>
                </c:pt>
                <c:pt idx="114">
                  <c:v>19</c:v>
                </c:pt>
                <c:pt idx="115">
                  <c:v>20</c:v>
                </c:pt>
                <c:pt idx="116">
                  <c:v>21</c:v>
                </c:pt>
                <c:pt idx="117">
                  <c:v>22</c:v>
                </c:pt>
                <c:pt idx="118">
                  <c:v>23</c:v>
                </c:pt>
                <c:pt idx="119">
                  <c:v>24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13</c:v>
                </c:pt>
                <c:pt idx="157">
                  <c:v>14</c:v>
                </c:pt>
                <c:pt idx="158">
                  <c:v>15</c:v>
                </c:pt>
                <c:pt idx="159">
                  <c:v>16</c:v>
                </c:pt>
                <c:pt idx="160">
                  <c:v>17</c:v>
                </c:pt>
                <c:pt idx="161">
                  <c:v>18</c:v>
                </c:pt>
                <c:pt idx="162">
                  <c:v>19</c:v>
                </c:pt>
                <c:pt idx="163">
                  <c:v>20</c:v>
                </c:pt>
                <c:pt idx="164">
                  <c:v>21</c:v>
                </c:pt>
                <c:pt idx="165">
                  <c:v>22</c:v>
                </c:pt>
              </c:numCache>
            </c:numRef>
          </c:xVal>
          <c:yVal>
            <c:numRef>
              <c:f>'Modern Family'!$BU$15:$BU$180</c:f>
              <c:numCache>
                <c:formatCode>0.00</c:formatCode>
                <c:ptCount val="166"/>
                <c:pt idx="0">
                  <c:v>1</c:v>
                </c:pt>
                <c:pt idx="1">
                  <c:v>0.79285714285714293</c:v>
                </c:pt>
                <c:pt idx="2">
                  <c:v>0.70000000000000007</c:v>
                </c:pt>
                <c:pt idx="3">
                  <c:v>0.74206349206349209</c:v>
                </c:pt>
                <c:pt idx="4">
                  <c:v>0.6873015873015873</c:v>
                </c:pt>
                <c:pt idx="5">
                  <c:v>0.73968253968253972</c:v>
                </c:pt>
                <c:pt idx="6">
                  <c:v>0.696031746031746</c:v>
                </c:pt>
                <c:pt idx="7">
                  <c:v>0.72698412698412707</c:v>
                </c:pt>
                <c:pt idx="8">
                  <c:v>0.56507936507936507</c:v>
                </c:pt>
                <c:pt idx="9">
                  <c:v>0.76746031746031751</c:v>
                </c:pt>
                <c:pt idx="10">
                  <c:v>0.81111111111111123</c:v>
                </c:pt>
                <c:pt idx="11">
                  <c:v>0.62142857142857144</c:v>
                </c:pt>
                <c:pt idx="12">
                  <c:v>0.78015873015873016</c:v>
                </c:pt>
                <c:pt idx="13">
                  <c:v>0.72936507936507933</c:v>
                </c:pt>
                <c:pt idx="14">
                  <c:v>0.78095238095238095</c:v>
                </c:pt>
                <c:pt idx="15">
                  <c:v>0.63571428571428568</c:v>
                </c:pt>
                <c:pt idx="16">
                  <c:v>0.71031746031746024</c:v>
                </c:pt>
                <c:pt idx="17">
                  <c:v>0.72857142857142854</c:v>
                </c:pt>
                <c:pt idx="18">
                  <c:v>0.75476190476190474</c:v>
                </c:pt>
                <c:pt idx="19">
                  <c:v>0.70476190476190481</c:v>
                </c:pt>
                <c:pt idx="20">
                  <c:v>0.7944444444444444</c:v>
                </c:pt>
                <c:pt idx="21">
                  <c:v>0.75238095238095248</c:v>
                </c:pt>
                <c:pt idx="22">
                  <c:v>0.82063492063492061</c:v>
                </c:pt>
                <c:pt idx="23">
                  <c:v>0.80476190476190479</c:v>
                </c:pt>
                <c:pt idx="24">
                  <c:v>1</c:v>
                </c:pt>
                <c:pt idx="25">
                  <c:v>0.94080505130228886</c:v>
                </c:pt>
                <c:pt idx="26">
                  <c:v>0.90292028413575376</c:v>
                </c:pt>
                <c:pt idx="27">
                  <c:v>0.90370955011838983</c:v>
                </c:pt>
                <c:pt idx="28">
                  <c:v>0.94475138121546964</c:v>
                </c:pt>
                <c:pt idx="29">
                  <c:v>1.0370955011838989</c:v>
                </c:pt>
                <c:pt idx="30">
                  <c:v>0.96606156274664567</c:v>
                </c:pt>
                <c:pt idx="31">
                  <c:v>0.95422257300710334</c:v>
                </c:pt>
                <c:pt idx="32">
                  <c:v>0.83425414364640882</c:v>
                </c:pt>
                <c:pt idx="33">
                  <c:v>0.87371744277821628</c:v>
                </c:pt>
                <c:pt idx="34">
                  <c:v>0.93370165745856359</c:v>
                </c:pt>
                <c:pt idx="35">
                  <c:v>0.87766377269139695</c:v>
                </c:pt>
                <c:pt idx="36">
                  <c:v>0.86661404893449101</c:v>
                </c:pt>
                <c:pt idx="37">
                  <c:v>1.0386740331491713</c:v>
                </c:pt>
                <c:pt idx="38">
                  <c:v>0.83425414364640882</c:v>
                </c:pt>
                <c:pt idx="39">
                  <c:v>0.80268350434096292</c:v>
                </c:pt>
                <c:pt idx="40">
                  <c:v>0.79794790844514596</c:v>
                </c:pt>
                <c:pt idx="41">
                  <c:v>0.86029992107340181</c:v>
                </c:pt>
                <c:pt idx="42">
                  <c:v>0.75848460931333861</c:v>
                </c:pt>
                <c:pt idx="43">
                  <c:v>0.78531965272296755</c:v>
                </c:pt>
                <c:pt idx="44">
                  <c:v>0.78137332280978689</c:v>
                </c:pt>
                <c:pt idx="45">
                  <c:v>0.80110497237569067</c:v>
                </c:pt>
                <c:pt idx="46">
                  <c:v>0.8129439621152329</c:v>
                </c:pt>
                <c:pt idx="47">
                  <c:v>0.81373322809786908</c:v>
                </c:pt>
                <c:pt idx="48">
                  <c:v>1</c:v>
                </c:pt>
                <c:pt idx="49">
                  <c:v>1.0013774104683195</c:v>
                </c:pt>
                <c:pt idx="50">
                  <c:v>0.92630853994490359</c:v>
                </c:pt>
                <c:pt idx="51">
                  <c:v>0.91184573002754821</c:v>
                </c:pt>
                <c:pt idx="52">
                  <c:v>0.94008264462809921</c:v>
                </c:pt>
                <c:pt idx="53">
                  <c:v>0.89807162534435259</c:v>
                </c:pt>
                <c:pt idx="54">
                  <c:v>0.92079889807162529</c:v>
                </c:pt>
                <c:pt idx="55">
                  <c:v>0.8891184573002755</c:v>
                </c:pt>
                <c:pt idx="56">
                  <c:v>0.87603305785123975</c:v>
                </c:pt>
                <c:pt idx="57">
                  <c:v>0.84022038567493107</c:v>
                </c:pt>
                <c:pt idx="58">
                  <c:v>0.96625344352617082</c:v>
                </c:pt>
                <c:pt idx="59">
                  <c:v>0.83471074380165289</c:v>
                </c:pt>
                <c:pt idx="60">
                  <c:v>0.81887052341597799</c:v>
                </c:pt>
                <c:pt idx="61">
                  <c:v>0.88842975206611574</c:v>
                </c:pt>
                <c:pt idx="62">
                  <c:v>0.77341597796143258</c:v>
                </c:pt>
                <c:pt idx="63">
                  <c:v>0.79476584022038566</c:v>
                </c:pt>
                <c:pt idx="64">
                  <c:v>0.80096418732782382</c:v>
                </c:pt>
                <c:pt idx="65">
                  <c:v>0.73002754820936644</c:v>
                </c:pt>
                <c:pt idx="66">
                  <c:v>0.71280991735537191</c:v>
                </c:pt>
                <c:pt idx="67">
                  <c:v>0.70316804407713507</c:v>
                </c:pt>
                <c:pt idx="68">
                  <c:v>0.69283746556473835</c:v>
                </c:pt>
                <c:pt idx="69">
                  <c:v>0.72865013774104681</c:v>
                </c:pt>
                <c:pt idx="70">
                  <c:v>0.64462809917355368</c:v>
                </c:pt>
                <c:pt idx="71">
                  <c:v>0.69352617079889811</c:v>
                </c:pt>
                <c:pt idx="72">
                  <c:v>1</c:v>
                </c:pt>
                <c:pt idx="73">
                  <c:v>0.83656509695290859</c:v>
                </c:pt>
                <c:pt idx="74">
                  <c:v>0.85249307479224379</c:v>
                </c:pt>
                <c:pt idx="75">
                  <c:v>0.85041551246537395</c:v>
                </c:pt>
                <c:pt idx="76">
                  <c:v>0.86703601108033246</c:v>
                </c:pt>
                <c:pt idx="77">
                  <c:v>0.73545706371191133</c:v>
                </c:pt>
                <c:pt idx="78">
                  <c:v>0.86080332409972304</c:v>
                </c:pt>
                <c:pt idx="79">
                  <c:v>0.82340720221606656</c:v>
                </c:pt>
                <c:pt idx="80">
                  <c:v>0.8317174515235457</c:v>
                </c:pt>
                <c:pt idx="81">
                  <c:v>0.75761772853185594</c:v>
                </c:pt>
                <c:pt idx="82">
                  <c:v>0.83379501385041543</c:v>
                </c:pt>
                <c:pt idx="83">
                  <c:v>0.76246537396121883</c:v>
                </c:pt>
                <c:pt idx="84">
                  <c:v>0.75</c:v>
                </c:pt>
                <c:pt idx="85">
                  <c:v>0.68074792243767313</c:v>
                </c:pt>
                <c:pt idx="86">
                  <c:v>0.69598337950138511</c:v>
                </c:pt>
                <c:pt idx="87">
                  <c:v>0.73545706371191133</c:v>
                </c:pt>
                <c:pt idx="88">
                  <c:v>0.72922437673130192</c:v>
                </c:pt>
                <c:pt idx="89">
                  <c:v>0.62950138504155129</c:v>
                </c:pt>
                <c:pt idx="90">
                  <c:v>0.75346260387811648</c:v>
                </c:pt>
                <c:pt idx="91">
                  <c:v>0.71883656509695304</c:v>
                </c:pt>
                <c:pt idx="92">
                  <c:v>0.66759002770083109</c:v>
                </c:pt>
                <c:pt idx="93">
                  <c:v>0.6246537396121884</c:v>
                </c:pt>
                <c:pt idx="94">
                  <c:v>0.69459833795013848</c:v>
                </c:pt>
                <c:pt idx="95">
                  <c:v>0.69321329639889195</c:v>
                </c:pt>
                <c:pt idx="96">
                  <c:v>1</c:v>
                </c:pt>
                <c:pt idx="97">
                  <c:v>0.99487617421007679</c:v>
                </c:pt>
                <c:pt idx="98">
                  <c:v>0.94961571306575565</c:v>
                </c:pt>
                <c:pt idx="99">
                  <c:v>0.90862510674637065</c:v>
                </c:pt>
                <c:pt idx="100">
                  <c:v>0.93424423569598625</c:v>
                </c:pt>
                <c:pt idx="101">
                  <c:v>0.88129803586678046</c:v>
                </c:pt>
                <c:pt idx="102">
                  <c:v>0.91801878736122966</c:v>
                </c:pt>
                <c:pt idx="103">
                  <c:v>0.87019641332194697</c:v>
                </c:pt>
                <c:pt idx="104">
                  <c:v>0.80871050384286935</c:v>
                </c:pt>
                <c:pt idx="105">
                  <c:v>0.90606319385140899</c:v>
                </c:pt>
                <c:pt idx="106">
                  <c:v>0.81212638770281798</c:v>
                </c:pt>
                <c:pt idx="107">
                  <c:v>0.7805294619982921</c:v>
                </c:pt>
                <c:pt idx="108">
                  <c:v>0.81895815542271555</c:v>
                </c:pt>
                <c:pt idx="109">
                  <c:v>0.84286934244235678</c:v>
                </c:pt>
                <c:pt idx="110">
                  <c:v>0.7275832621690862</c:v>
                </c:pt>
                <c:pt idx="111">
                  <c:v>0.78736122971818956</c:v>
                </c:pt>
                <c:pt idx="112">
                  <c:v>0.80187873612297178</c:v>
                </c:pt>
                <c:pt idx="113">
                  <c:v>0.86165670367207503</c:v>
                </c:pt>
                <c:pt idx="114">
                  <c:v>0.76857386848847131</c:v>
                </c:pt>
                <c:pt idx="115">
                  <c:v>0.81895815542271555</c:v>
                </c:pt>
                <c:pt idx="116">
                  <c:v>0.71648163962425282</c:v>
                </c:pt>
                <c:pt idx="117">
                  <c:v>0.73014517506404786</c:v>
                </c:pt>
                <c:pt idx="118">
                  <c:v>0.77540563620836889</c:v>
                </c:pt>
                <c:pt idx="119">
                  <c:v>0.89239965841161384</c:v>
                </c:pt>
                <c:pt idx="120">
                  <c:v>1</c:v>
                </c:pt>
                <c:pt idx="121">
                  <c:v>0.92794376098418274</c:v>
                </c:pt>
                <c:pt idx="122">
                  <c:v>0.90509666080843587</c:v>
                </c:pt>
                <c:pt idx="123">
                  <c:v>0.85325131810193322</c:v>
                </c:pt>
                <c:pt idx="124">
                  <c:v>0.89279437609841827</c:v>
                </c:pt>
                <c:pt idx="125">
                  <c:v>0.8717047451669595</c:v>
                </c:pt>
                <c:pt idx="126">
                  <c:v>0.86379613356766249</c:v>
                </c:pt>
                <c:pt idx="127">
                  <c:v>0.95606326889279436</c:v>
                </c:pt>
                <c:pt idx="128">
                  <c:v>0.7926186291739894</c:v>
                </c:pt>
                <c:pt idx="129">
                  <c:v>0.8514938488576449</c:v>
                </c:pt>
                <c:pt idx="130">
                  <c:v>0.81634446397188032</c:v>
                </c:pt>
                <c:pt idx="131">
                  <c:v>0.82952548330404208</c:v>
                </c:pt>
                <c:pt idx="132">
                  <c:v>0.86731107205623892</c:v>
                </c:pt>
                <c:pt idx="133">
                  <c:v>0.85852372583479775</c:v>
                </c:pt>
                <c:pt idx="134">
                  <c:v>0.77328646748681895</c:v>
                </c:pt>
                <c:pt idx="135">
                  <c:v>0.8189806678383128</c:v>
                </c:pt>
                <c:pt idx="136">
                  <c:v>0.84446397188049194</c:v>
                </c:pt>
                <c:pt idx="137">
                  <c:v>0.76537785588752194</c:v>
                </c:pt>
                <c:pt idx="138">
                  <c:v>0.82864674868189803</c:v>
                </c:pt>
                <c:pt idx="139">
                  <c:v>0.77768014059753943</c:v>
                </c:pt>
                <c:pt idx="140">
                  <c:v>0.70298769771528991</c:v>
                </c:pt>
                <c:pt idx="141">
                  <c:v>0.75307557117750434</c:v>
                </c:pt>
                <c:pt idx="142">
                  <c:v>0.71441124780316345</c:v>
                </c:pt>
                <c:pt idx="143">
                  <c:v>0.63268892794376097</c:v>
                </c:pt>
                <c:pt idx="144">
                  <c:v>1</c:v>
                </c:pt>
                <c:pt idx="145">
                  <c:v>0.92177589852008457</c:v>
                </c:pt>
                <c:pt idx="146">
                  <c:v>0.84460887949260033</c:v>
                </c:pt>
                <c:pt idx="147">
                  <c:v>0.83298097251585612</c:v>
                </c:pt>
                <c:pt idx="148">
                  <c:v>0.82452431289640582</c:v>
                </c:pt>
                <c:pt idx="149">
                  <c:v>0.86152219873150104</c:v>
                </c:pt>
                <c:pt idx="150">
                  <c:v>0.88583509513742076</c:v>
                </c:pt>
                <c:pt idx="151">
                  <c:v>0.7769556025369978</c:v>
                </c:pt>
                <c:pt idx="152">
                  <c:v>0.86680761099365733</c:v>
                </c:pt>
                <c:pt idx="153">
                  <c:v>0.88266384778012674</c:v>
                </c:pt>
                <c:pt idx="154">
                  <c:v>0.86363636363636354</c:v>
                </c:pt>
                <c:pt idx="155">
                  <c:v>0.82452431289640582</c:v>
                </c:pt>
                <c:pt idx="156">
                  <c:v>0.79069767441860461</c:v>
                </c:pt>
                <c:pt idx="157">
                  <c:v>0.85623678646934454</c:v>
                </c:pt>
                <c:pt idx="158">
                  <c:v>0.86892177589852004</c:v>
                </c:pt>
                <c:pt idx="159">
                  <c:v>0.86046511627906974</c:v>
                </c:pt>
                <c:pt idx="160">
                  <c:v>0.81289640591966172</c:v>
                </c:pt>
                <c:pt idx="161">
                  <c:v>0.79386892177589841</c:v>
                </c:pt>
                <c:pt idx="162">
                  <c:v>0.78646934460887952</c:v>
                </c:pt>
                <c:pt idx="163">
                  <c:v>0.7843551797040168</c:v>
                </c:pt>
                <c:pt idx="164">
                  <c:v>0.75687103594080329</c:v>
                </c:pt>
                <c:pt idx="165">
                  <c:v>0.71775898520084558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64288"/>
        <c:axId val="151566208"/>
      </c:scatterChart>
      <c:valAx>
        <c:axId val="151564288"/>
        <c:scaling>
          <c:orientation val="minMax"/>
          <c:max val="2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Episode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566208"/>
        <c:crosses val="autoZero"/>
        <c:crossBetween val="midCat"/>
      </c:valAx>
      <c:valAx>
        <c:axId val="1515662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Normalized</a:t>
                </a:r>
                <a:r>
                  <a:rPr lang="en-US" sz="1600" baseline="0"/>
                  <a:t> Number Of Viewers By Episode 1 </a:t>
                </a:r>
                <a:endParaRPr lang="en-US" sz="16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564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2445570966884001"/>
          <c:y val="0.57880716572762447"/>
          <c:w val="0.20135139709378702"/>
          <c:h val="0.158995113002432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571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Modern Family Viewership</a:t>
            </a:r>
            <a:r>
              <a:rPr lang="en-US" sz="1800" baseline="0"/>
              <a:t> - Season 6</a:t>
            </a:r>
            <a:endParaRPr lang="en-US" sz="1800"/>
          </a:p>
        </c:rich>
      </c:tx>
      <c:layout>
        <c:manualLayout>
          <c:xMode val="edge"/>
          <c:yMode val="edge"/>
          <c:x val="0.25409389357962753"/>
          <c:y val="1.780739659205654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798038726211901"/>
          <c:y val="9.443668347793592E-2"/>
          <c:w val="0.81603596120726263"/>
          <c:h val="0.78825359007073881"/>
        </c:manualLayout>
      </c:layout>
      <c:scatterChart>
        <c:scatterStyle val="smoothMarker"/>
        <c:varyColors val="0"/>
        <c:ser>
          <c:idx val="5"/>
          <c:order val="0"/>
          <c:tx>
            <c:v>Season 6</c:v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accent6"/>
              </a:solidFill>
              <a:ln w="15875">
                <a:solidFill>
                  <a:schemeClr val="accent6"/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Family'!$Y$15:$Y$38</c:f>
              <c:numCache>
                <c:formatCode>0.00</c:formatCode>
                <c:ptCount val="24"/>
                <c:pt idx="0">
                  <c:v>11.38</c:v>
                </c:pt>
                <c:pt idx="1">
                  <c:v>10.56</c:v>
                </c:pt>
                <c:pt idx="2">
                  <c:v>10.3</c:v>
                </c:pt>
                <c:pt idx="3">
                  <c:v>9.7100000000000009</c:v>
                </c:pt>
                <c:pt idx="4">
                  <c:v>10.16</c:v>
                </c:pt>
                <c:pt idx="5">
                  <c:v>9.92</c:v>
                </c:pt>
                <c:pt idx="6">
                  <c:v>9.83</c:v>
                </c:pt>
                <c:pt idx="7">
                  <c:v>10.88</c:v>
                </c:pt>
                <c:pt idx="8">
                  <c:v>9.02</c:v>
                </c:pt>
                <c:pt idx="9">
                  <c:v>9.69</c:v>
                </c:pt>
                <c:pt idx="10">
                  <c:v>9.2899999999999991</c:v>
                </c:pt>
                <c:pt idx="11">
                  <c:v>9.44</c:v>
                </c:pt>
                <c:pt idx="12">
                  <c:v>9.8699999999999992</c:v>
                </c:pt>
                <c:pt idx="13">
                  <c:v>9.77</c:v>
                </c:pt>
                <c:pt idx="14">
                  <c:v>8.8000000000000007</c:v>
                </c:pt>
                <c:pt idx="15">
                  <c:v>9.32</c:v>
                </c:pt>
                <c:pt idx="16">
                  <c:v>9.61</c:v>
                </c:pt>
                <c:pt idx="17">
                  <c:v>8.7100000000000009</c:v>
                </c:pt>
                <c:pt idx="18">
                  <c:v>9.43</c:v>
                </c:pt>
                <c:pt idx="19">
                  <c:v>8.85</c:v>
                </c:pt>
                <c:pt idx="20">
                  <c:v>8</c:v>
                </c:pt>
                <c:pt idx="21">
                  <c:v>8.57</c:v>
                </c:pt>
                <c:pt idx="22">
                  <c:v>8.1300000000000008</c:v>
                </c:pt>
                <c:pt idx="23">
                  <c:v>7.2</c:v>
                </c:pt>
              </c:numCache>
            </c:numRef>
          </c:yVal>
          <c:smooth val="1"/>
        </c:ser>
        <c:ser>
          <c:idx val="0"/>
          <c:order val="1"/>
          <c:tx>
            <c:v>Regression Predicted Season 6</c:v>
          </c:tx>
          <c:spPr>
            <a:ln w="38100"/>
          </c:spPr>
          <c:marker>
            <c:symbol val="diamond"/>
            <c:size val="9"/>
          </c:marker>
          <c:xVal>
            <c:numRef>
              <c:f>'Modern Family'!$AM$15:$AM$38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Family'!$AS$15:$AS$38</c:f>
              <c:numCache>
                <c:formatCode>0.00</c:formatCode>
                <c:ptCount val="24"/>
                <c:pt idx="0">
                  <c:v>10.414651563262019</c:v>
                </c:pt>
                <c:pt idx="1">
                  <c:v>10.318411072210287</c:v>
                </c:pt>
                <c:pt idx="2">
                  <c:v>10.222170581158554</c:v>
                </c:pt>
                <c:pt idx="3">
                  <c:v>10.125930090106822</c:v>
                </c:pt>
                <c:pt idx="4">
                  <c:v>10.029689599055089</c:v>
                </c:pt>
                <c:pt idx="5">
                  <c:v>9.9334491080033569</c:v>
                </c:pt>
                <c:pt idx="6">
                  <c:v>9.8372086169516244</c:v>
                </c:pt>
                <c:pt idx="7">
                  <c:v>9.7409681258998937</c:v>
                </c:pt>
                <c:pt idx="8">
                  <c:v>9.6447276348481612</c:v>
                </c:pt>
                <c:pt idx="9">
                  <c:v>9.5484871437964287</c:v>
                </c:pt>
                <c:pt idx="10">
                  <c:v>9.4522466527446962</c:v>
                </c:pt>
                <c:pt idx="11">
                  <c:v>9.3560061616929637</c:v>
                </c:pt>
                <c:pt idx="12">
                  <c:v>9.2597656706412312</c:v>
                </c:pt>
                <c:pt idx="13">
                  <c:v>9.1635251795894987</c:v>
                </c:pt>
                <c:pt idx="14">
                  <c:v>9.0672846885377663</c:v>
                </c:pt>
                <c:pt idx="15">
                  <c:v>8.9710441974860338</c:v>
                </c:pt>
                <c:pt idx="16">
                  <c:v>8.8748037064343013</c:v>
                </c:pt>
                <c:pt idx="17">
                  <c:v>8.7785632153825688</c:v>
                </c:pt>
                <c:pt idx="18">
                  <c:v>8.6823227243308363</c:v>
                </c:pt>
                <c:pt idx="19">
                  <c:v>8.5860822332791056</c:v>
                </c:pt>
                <c:pt idx="20">
                  <c:v>8.4898417422273731</c:v>
                </c:pt>
                <c:pt idx="21">
                  <c:v>8.3936012511756406</c:v>
                </c:pt>
                <c:pt idx="22">
                  <c:v>8.2973607601239081</c:v>
                </c:pt>
                <c:pt idx="23">
                  <c:v>8.2011202690721756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699456"/>
        <c:axId val="151701376"/>
      </c:scatterChart>
      <c:valAx>
        <c:axId val="151699456"/>
        <c:scaling>
          <c:orientation val="minMax"/>
          <c:max val="2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Episode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701376"/>
        <c:crosses val="autoZero"/>
        <c:crossBetween val="midCat"/>
      </c:valAx>
      <c:valAx>
        <c:axId val="1517013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 Number Of Viewers (Millions)</a:t>
                </a:r>
                <a:endParaRPr lang="en-US" sz="16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99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521212416750335"/>
          <c:y val="0.5737213404233209"/>
          <c:w val="0.4955335906727435"/>
          <c:h val="0.171236133867732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571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Of Regression Error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'Modern Family'!$CG$50:$CG$70</c:f>
              <c:numCache>
                <c:formatCode>General</c:formatCode>
                <c:ptCount val="21"/>
                <c:pt idx="0">
                  <c:v>-0.2</c:v>
                </c:pt>
                <c:pt idx="1">
                  <c:v>-0.18000000000000002</c:v>
                </c:pt>
                <c:pt idx="2">
                  <c:v>-0.16000000000000003</c:v>
                </c:pt>
                <c:pt idx="3">
                  <c:v>-0.14000000000000004</c:v>
                </c:pt>
                <c:pt idx="4">
                  <c:v>-0.12000000000000004</c:v>
                </c:pt>
                <c:pt idx="5">
                  <c:v>-0.10000000000000003</c:v>
                </c:pt>
                <c:pt idx="6">
                  <c:v>-8.0000000000000029E-2</c:v>
                </c:pt>
                <c:pt idx="7">
                  <c:v>-6.0000000000000026E-2</c:v>
                </c:pt>
                <c:pt idx="8">
                  <c:v>-4.0000000000000022E-2</c:v>
                </c:pt>
                <c:pt idx="9">
                  <c:v>-2.0000000000000021E-2</c:v>
                </c:pt>
                <c:pt idx="10">
                  <c:v>0</c:v>
                </c:pt>
                <c:pt idx="11">
                  <c:v>0.02</c:v>
                </c:pt>
                <c:pt idx="12">
                  <c:v>0.04</c:v>
                </c:pt>
                <c:pt idx="13">
                  <c:v>0.06</c:v>
                </c:pt>
                <c:pt idx="14">
                  <c:v>0.08</c:v>
                </c:pt>
                <c:pt idx="15">
                  <c:v>0.1</c:v>
                </c:pt>
                <c:pt idx="16">
                  <c:v>0.12000000000000001</c:v>
                </c:pt>
                <c:pt idx="17">
                  <c:v>0.14000000000000001</c:v>
                </c:pt>
                <c:pt idx="18">
                  <c:v>0.16</c:v>
                </c:pt>
                <c:pt idx="19">
                  <c:v>0.18</c:v>
                </c:pt>
                <c:pt idx="20">
                  <c:v>0.19999999999999998</c:v>
                </c:pt>
              </c:numCache>
            </c:numRef>
          </c:cat>
          <c:val>
            <c:numRef>
              <c:f>'Modern Family'!$CH$50:$CH$70</c:f>
              <c:numCache>
                <c:formatCode>General</c:formatCode>
                <c:ptCount val="21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17</c:v>
                </c:pt>
                <c:pt idx="7">
                  <c:v>8</c:v>
                </c:pt>
                <c:pt idx="8">
                  <c:v>13</c:v>
                </c:pt>
                <c:pt idx="9">
                  <c:v>22</c:v>
                </c:pt>
                <c:pt idx="10">
                  <c:v>24</c:v>
                </c:pt>
                <c:pt idx="11">
                  <c:v>20</c:v>
                </c:pt>
                <c:pt idx="12">
                  <c:v>13</c:v>
                </c:pt>
                <c:pt idx="13">
                  <c:v>16</c:v>
                </c:pt>
                <c:pt idx="14">
                  <c:v>8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754240"/>
        <c:axId val="151756160"/>
      </c:barChart>
      <c:catAx>
        <c:axId val="151754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Amount Of Error (Normalized Results)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51756160"/>
        <c:crosses val="autoZero"/>
        <c:auto val="1"/>
        <c:lblAlgn val="ctr"/>
        <c:lblOffset val="100"/>
        <c:noMultiLvlLbl val="0"/>
      </c:catAx>
      <c:valAx>
        <c:axId val="1517561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Number Of Episodes</a:t>
                </a:r>
                <a:r>
                  <a:rPr lang="en-US" sz="1800" baseline="0"/>
                  <a:t> With Each Error Amount</a:t>
                </a:r>
                <a:endParaRPr lang="en-US" sz="18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51754240"/>
        <c:crosses val="autoZero"/>
        <c:crossBetween val="between"/>
      </c:valAx>
    </c:plotArea>
    <c:plotVisOnly val="1"/>
    <c:dispBlanksAs val="gap"/>
    <c:showDLblsOverMax val="0"/>
  </c:chart>
  <c:spPr>
    <a:ln w="7620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Modern Family Viewership</a:t>
            </a:r>
            <a:r>
              <a:rPr lang="en-US" sz="1800" baseline="0"/>
              <a:t> - Season 6                                  With Standard Deviations</a:t>
            </a:r>
            <a:endParaRPr lang="en-US" sz="1800"/>
          </a:p>
        </c:rich>
      </c:tx>
      <c:layout>
        <c:manualLayout>
          <c:xMode val="edge"/>
          <c:yMode val="edge"/>
          <c:x val="0.25409389357962753"/>
          <c:y val="1.780739659205654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798038726211901"/>
          <c:y val="9.443668347793592E-2"/>
          <c:w val="0.81603596120726263"/>
          <c:h val="0.78825359007073881"/>
        </c:manualLayout>
      </c:layout>
      <c:scatterChart>
        <c:scatterStyle val="smoothMarker"/>
        <c:varyColors val="0"/>
        <c:ser>
          <c:idx val="5"/>
          <c:order val="0"/>
          <c:tx>
            <c:v>Season 6</c:v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accent6"/>
              </a:solidFill>
              <a:ln w="15875">
                <a:solidFill>
                  <a:schemeClr val="accent6"/>
                </a:solidFill>
              </a:ln>
              <a:effectLst/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Family'!$Y$15:$Y$38</c:f>
              <c:numCache>
                <c:formatCode>0.00</c:formatCode>
                <c:ptCount val="24"/>
                <c:pt idx="0">
                  <c:v>11.38</c:v>
                </c:pt>
                <c:pt idx="1">
                  <c:v>10.56</c:v>
                </c:pt>
                <c:pt idx="2">
                  <c:v>10.3</c:v>
                </c:pt>
                <c:pt idx="3">
                  <c:v>9.7100000000000009</c:v>
                </c:pt>
                <c:pt idx="4">
                  <c:v>10.16</c:v>
                </c:pt>
                <c:pt idx="5">
                  <c:v>9.92</c:v>
                </c:pt>
                <c:pt idx="6">
                  <c:v>9.83</c:v>
                </c:pt>
                <c:pt idx="7">
                  <c:v>10.88</c:v>
                </c:pt>
                <c:pt idx="8">
                  <c:v>9.02</c:v>
                </c:pt>
                <c:pt idx="9">
                  <c:v>9.69</c:v>
                </c:pt>
                <c:pt idx="10">
                  <c:v>9.2899999999999991</c:v>
                </c:pt>
                <c:pt idx="11">
                  <c:v>9.44</c:v>
                </c:pt>
                <c:pt idx="12">
                  <c:v>9.8699999999999992</c:v>
                </c:pt>
                <c:pt idx="13">
                  <c:v>9.77</c:v>
                </c:pt>
                <c:pt idx="14">
                  <c:v>8.8000000000000007</c:v>
                </c:pt>
                <c:pt idx="15">
                  <c:v>9.32</c:v>
                </c:pt>
                <c:pt idx="16">
                  <c:v>9.61</c:v>
                </c:pt>
                <c:pt idx="17">
                  <c:v>8.7100000000000009</c:v>
                </c:pt>
                <c:pt idx="18">
                  <c:v>9.43</c:v>
                </c:pt>
                <c:pt idx="19">
                  <c:v>8.85</c:v>
                </c:pt>
                <c:pt idx="20">
                  <c:v>8</c:v>
                </c:pt>
                <c:pt idx="21">
                  <c:v>8.57</c:v>
                </c:pt>
                <c:pt idx="22">
                  <c:v>8.1300000000000008</c:v>
                </c:pt>
                <c:pt idx="23">
                  <c:v>7.2</c:v>
                </c:pt>
              </c:numCache>
            </c:numRef>
          </c:yVal>
          <c:smooth val="1"/>
        </c:ser>
        <c:ser>
          <c:idx val="0"/>
          <c:order val="1"/>
          <c:tx>
            <c:v>Regression Predicted Season 6</c:v>
          </c:tx>
          <c:spPr>
            <a:ln w="38100"/>
          </c:spPr>
          <c:marker>
            <c:symbol val="diamond"/>
            <c:size val="9"/>
          </c:marker>
          <c:xVal>
            <c:numRef>
              <c:f>'Modern Family'!$AM$15:$AM$38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Family'!$AS$15:$AS$38</c:f>
              <c:numCache>
                <c:formatCode>0.00</c:formatCode>
                <c:ptCount val="24"/>
                <c:pt idx="0">
                  <c:v>10.414651563262019</c:v>
                </c:pt>
                <c:pt idx="1">
                  <c:v>10.318411072210287</c:v>
                </c:pt>
                <c:pt idx="2">
                  <c:v>10.222170581158554</c:v>
                </c:pt>
                <c:pt idx="3">
                  <c:v>10.125930090106822</c:v>
                </c:pt>
                <c:pt idx="4">
                  <c:v>10.029689599055089</c:v>
                </c:pt>
                <c:pt idx="5">
                  <c:v>9.9334491080033569</c:v>
                </c:pt>
                <c:pt idx="6">
                  <c:v>9.8372086169516244</c:v>
                </c:pt>
                <c:pt idx="7">
                  <c:v>9.7409681258998937</c:v>
                </c:pt>
                <c:pt idx="8">
                  <c:v>9.6447276348481612</c:v>
                </c:pt>
                <c:pt idx="9">
                  <c:v>9.5484871437964287</c:v>
                </c:pt>
                <c:pt idx="10">
                  <c:v>9.4522466527446962</c:v>
                </c:pt>
                <c:pt idx="11">
                  <c:v>9.3560061616929637</c:v>
                </c:pt>
                <c:pt idx="12">
                  <c:v>9.2597656706412312</c:v>
                </c:pt>
                <c:pt idx="13">
                  <c:v>9.1635251795894987</c:v>
                </c:pt>
                <c:pt idx="14">
                  <c:v>9.0672846885377663</c:v>
                </c:pt>
                <c:pt idx="15">
                  <c:v>8.9710441974860338</c:v>
                </c:pt>
                <c:pt idx="16">
                  <c:v>8.8748037064343013</c:v>
                </c:pt>
                <c:pt idx="17">
                  <c:v>8.7785632153825688</c:v>
                </c:pt>
                <c:pt idx="18">
                  <c:v>8.6823227243308363</c:v>
                </c:pt>
                <c:pt idx="19">
                  <c:v>8.5860822332791056</c:v>
                </c:pt>
                <c:pt idx="20">
                  <c:v>8.4898417422273731</c:v>
                </c:pt>
                <c:pt idx="21">
                  <c:v>8.3936012511756406</c:v>
                </c:pt>
                <c:pt idx="22">
                  <c:v>8.2973607601239081</c:v>
                </c:pt>
                <c:pt idx="23">
                  <c:v>8.2011202690721756</c:v>
                </c:pt>
              </c:numCache>
            </c:numRef>
          </c:yVal>
          <c:smooth val="1"/>
        </c:ser>
        <c:ser>
          <c:idx val="1"/>
          <c:order val="2"/>
          <c:tx>
            <c:v>-2 Std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'Modern Family'!$AM$50:$AM$73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Family'!$AN$50:$AN$73</c:f>
              <c:numCache>
                <c:formatCode>0.00</c:formatCode>
                <c:ptCount val="24"/>
                <c:pt idx="0">
                  <c:v>8.7339458944195094</c:v>
                </c:pt>
                <c:pt idx="1">
                  <c:v>8.6377054033677769</c:v>
                </c:pt>
                <c:pt idx="2">
                  <c:v>8.5414649123160444</c:v>
                </c:pt>
                <c:pt idx="3">
                  <c:v>8.4452244212643137</c:v>
                </c:pt>
                <c:pt idx="4">
                  <c:v>8.3489839302125812</c:v>
                </c:pt>
                <c:pt idx="5">
                  <c:v>8.2527434391608487</c:v>
                </c:pt>
                <c:pt idx="6">
                  <c:v>8.1565029481091162</c:v>
                </c:pt>
                <c:pt idx="7">
                  <c:v>8.0602624570573838</c:v>
                </c:pt>
                <c:pt idx="8">
                  <c:v>7.9640219660056513</c:v>
                </c:pt>
                <c:pt idx="9">
                  <c:v>7.8677814749539188</c:v>
                </c:pt>
                <c:pt idx="10">
                  <c:v>7.7715409839021863</c:v>
                </c:pt>
                <c:pt idx="11">
                  <c:v>7.6753004928504538</c:v>
                </c:pt>
                <c:pt idx="12">
                  <c:v>7.5790600017987222</c:v>
                </c:pt>
                <c:pt idx="13">
                  <c:v>7.4828195107469897</c:v>
                </c:pt>
                <c:pt idx="14">
                  <c:v>7.3865790196952572</c:v>
                </c:pt>
                <c:pt idx="15">
                  <c:v>7.2903385286435247</c:v>
                </c:pt>
                <c:pt idx="16">
                  <c:v>7.1940980375917922</c:v>
                </c:pt>
                <c:pt idx="17">
                  <c:v>7.0978575465400597</c:v>
                </c:pt>
                <c:pt idx="18">
                  <c:v>7.0016170554883281</c:v>
                </c:pt>
                <c:pt idx="19">
                  <c:v>6.9053765644365956</c:v>
                </c:pt>
                <c:pt idx="20">
                  <c:v>6.8091360733848632</c:v>
                </c:pt>
                <c:pt idx="21">
                  <c:v>6.7128955823331307</c:v>
                </c:pt>
                <c:pt idx="22">
                  <c:v>6.6166550912813982</c:v>
                </c:pt>
                <c:pt idx="23">
                  <c:v>6.5204146002296657</c:v>
                </c:pt>
              </c:numCache>
            </c:numRef>
          </c:yVal>
          <c:smooth val="1"/>
        </c:ser>
        <c:ser>
          <c:idx val="2"/>
          <c:order val="3"/>
          <c:tx>
            <c:v>-1 Std</c:v>
          </c:tx>
          <c:spPr>
            <a:ln w="2222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'Modern Family'!$AM$50:$AM$73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Family'!$AO$50:$AO$73</c:f>
              <c:numCache>
                <c:formatCode>0.00</c:formatCode>
                <c:ptCount val="24"/>
                <c:pt idx="0">
                  <c:v>9.5742987288407644</c:v>
                </c:pt>
                <c:pt idx="1">
                  <c:v>9.4780582377890337</c:v>
                </c:pt>
                <c:pt idx="2">
                  <c:v>9.3818177467372994</c:v>
                </c:pt>
                <c:pt idx="3">
                  <c:v>9.2855772556855687</c:v>
                </c:pt>
                <c:pt idx="4">
                  <c:v>9.1893367646338344</c:v>
                </c:pt>
                <c:pt idx="5">
                  <c:v>9.0930962735821037</c:v>
                </c:pt>
                <c:pt idx="6">
                  <c:v>8.9968557825303694</c:v>
                </c:pt>
                <c:pt idx="7">
                  <c:v>8.9006152914786387</c:v>
                </c:pt>
                <c:pt idx="8">
                  <c:v>8.8043748004269045</c:v>
                </c:pt>
                <c:pt idx="9">
                  <c:v>8.7081343093751737</c:v>
                </c:pt>
                <c:pt idx="10">
                  <c:v>8.6118938183234413</c:v>
                </c:pt>
                <c:pt idx="11">
                  <c:v>8.5156533272717088</c:v>
                </c:pt>
                <c:pt idx="12">
                  <c:v>8.4194128362199763</c:v>
                </c:pt>
                <c:pt idx="13">
                  <c:v>8.3231723451682456</c:v>
                </c:pt>
                <c:pt idx="14">
                  <c:v>8.2269318541165113</c:v>
                </c:pt>
                <c:pt idx="15">
                  <c:v>8.1306913630647806</c:v>
                </c:pt>
                <c:pt idx="16">
                  <c:v>8.0344508720130463</c:v>
                </c:pt>
                <c:pt idx="17">
                  <c:v>7.9382103809613156</c:v>
                </c:pt>
                <c:pt idx="18">
                  <c:v>7.8419698899095822</c:v>
                </c:pt>
                <c:pt idx="19">
                  <c:v>7.7457293988578506</c:v>
                </c:pt>
                <c:pt idx="20">
                  <c:v>7.6494889078061172</c:v>
                </c:pt>
                <c:pt idx="21">
                  <c:v>7.5532484167543856</c:v>
                </c:pt>
                <c:pt idx="22">
                  <c:v>7.4570079257026523</c:v>
                </c:pt>
                <c:pt idx="23">
                  <c:v>7.3607674346509215</c:v>
                </c:pt>
              </c:numCache>
            </c:numRef>
          </c:yVal>
          <c:smooth val="1"/>
        </c:ser>
        <c:ser>
          <c:idx val="3"/>
          <c:order val="4"/>
          <c:tx>
            <c:v>+1 Std</c:v>
          </c:tx>
          <c:spPr>
            <a:ln w="2222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'Modern Family'!$AM$50:$AM$73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Family'!$AP$50:$AP$73</c:f>
              <c:numCache>
                <c:formatCode>0.00</c:formatCode>
                <c:ptCount val="24"/>
                <c:pt idx="0">
                  <c:v>11.255004397683274</c:v>
                </c:pt>
                <c:pt idx="1">
                  <c:v>11.158763906631542</c:v>
                </c:pt>
                <c:pt idx="2">
                  <c:v>11.062523415579809</c:v>
                </c:pt>
                <c:pt idx="3">
                  <c:v>10.966282924528077</c:v>
                </c:pt>
                <c:pt idx="4">
                  <c:v>10.870042433476346</c:v>
                </c:pt>
                <c:pt idx="5">
                  <c:v>10.773801942424612</c:v>
                </c:pt>
                <c:pt idx="6">
                  <c:v>10.677561451372881</c:v>
                </c:pt>
                <c:pt idx="7">
                  <c:v>10.581320960321147</c:v>
                </c:pt>
                <c:pt idx="8">
                  <c:v>10.485080469269416</c:v>
                </c:pt>
                <c:pt idx="9">
                  <c:v>10.388839978217682</c:v>
                </c:pt>
                <c:pt idx="10">
                  <c:v>10.292599487165951</c:v>
                </c:pt>
                <c:pt idx="11">
                  <c:v>10.196358996114217</c:v>
                </c:pt>
                <c:pt idx="12">
                  <c:v>10.100118505062486</c:v>
                </c:pt>
                <c:pt idx="13">
                  <c:v>10.003878014010754</c:v>
                </c:pt>
                <c:pt idx="14">
                  <c:v>9.9076375229590212</c:v>
                </c:pt>
                <c:pt idx="15">
                  <c:v>9.8113970319072887</c:v>
                </c:pt>
                <c:pt idx="16">
                  <c:v>9.715156540855558</c:v>
                </c:pt>
                <c:pt idx="17">
                  <c:v>9.6189160498038238</c:v>
                </c:pt>
                <c:pt idx="18">
                  <c:v>9.522675558752093</c:v>
                </c:pt>
                <c:pt idx="19">
                  <c:v>9.4264350677003588</c:v>
                </c:pt>
                <c:pt idx="20">
                  <c:v>9.3301945766486281</c:v>
                </c:pt>
                <c:pt idx="21">
                  <c:v>9.2339540855968938</c:v>
                </c:pt>
                <c:pt idx="22">
                  <c:v>9.1377135945451631</c:v>
                </c:pt>
                <c:pt idx="23">
                  <c:v>9.0414731034934288</c:v>
                </c:pt>
              </c:numCache>
            </c:numRef>
          </c:yVal>
          <c:smooth val="1"/>
        </c:ser>
        <c:ser>
          <c:idx val="4"/>
          <c:order val="5"/>
          <c:tx>
            <c:v>+2 Std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'Modern Family'!$AM$50:$AM$73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Family'!$AQ$50:$AQ$73</c:f>
              <c:numCache>
                <c:formatCode>0.00</c:formatCode>
                <c:ptCount val="24"/>
                <c:pt idx="0">
                  <c:v>12.095357232104529</c:v>
                </c:pt>
                <c:pt idx="1">
                  <c:v>11.999116741052797</c:v>
                </c:pt>
                <c:pt idx="2">
                  <c:v>11.902876250001064</c:v>
                </c:pt>
                <c:pt idx="3">
                  <c:v>11.80663575894933</c:v>
                </c:pt>
                <c:pt idx="4">
                  <c:v>11.710395267897599</c:v>
                </c:pt>
                <c:pt idx="5">
                  <c:v>11.614154776845869</c:v>
                </c:pt>
                <c:pt idx="6">
                  <c:v>11.517914285794134</c:v>
                </c:pt>
                <c:pt idx="7">
                  <c:v>11.421673794742402</c:v>
                </c:pt>
                <c:pt idx="8">
                  <c:v>11.325433303690669</c:v>
                </c:pt>
                <c:pt idx="9">
                  <c:v>11.229192812638937</c:v>
                </c:pt>
                <c:pt idx="10">
                  <c:v>11.132952321587206</c:v>
                </c:pt>
                <c:pt idx="11">
                  <c:v>11.036711830535474</c:v>
                </c:pt>
                <c:pt idx="12">
                  <c:v>10.940471339483741</c:v>
                </c:pt>
                <c:pt idx="13">
                  <c:v>10.844230848432009</c:v>
                </c:pt>
                <c:pt idx="14">
                  <c:v>10.747990357380276</c:v>
                </c:pt>
                <c:pt idx="15">
                  <c:v>10.651749866328544</c:v>
                </c:pt>
                <c:pt idx="16">
                  <c:v>10.555509375276811</c:v>
                </c:pt>
                <c:pt idx="17">
                  <c:v>10.459268884225079</c:v>
                </c:pt>
                <c:pt idx="18">
                  <c:v>10.363028393173346</c:v>
                </c:pt>
                <c:pt idx="19">
                  <c:v>10.266787902121614</c:v>
                </c:pt>
                <c:pt idx="20">
                  <c:v>10.170547411069881</c:v>
                </c:pt>
                <c:pt idx="21">
                  <c:v>10.074306920018149</c:v>
                </c:pt>
                <c:pt idx="22">
                  <c:v>9.978066428966418</c:v>
                </c:pt>
                <c:pt idx="23">
                  <c:v>9.8818259379146856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632704"/>
        <c:axId val="156186112"/>
      </c:scatterChart>
      <c:valAx>
        <c:axId val="152632704"/>
        <c:scaling>
          <c:orientation val="minMax"/>
          <c:max val="2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Episode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86112"/>
        <c:crosses val="autoZero"/>
        <c:crossBetween val="midCat"/>
      </c:valAx>
      <c:valAx>
        <c:axId val="156186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 Number Of Viewers (Millions)</a:t>
                </a:r>
                <a:endParaRPr lang="en-US" sz="16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32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521208744100246"/>
          <c:y val="0.58389299103192793"/>
          <c:w val="0.44082110301995342"/>
          <c:h val="0.2787897257518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571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ysClr val="windowText" lastClr="000000"/>
                </a:solidFill>
              </a:rPr>
              <a:t>Modern Family Viewership</a:t>
            </a:r>
            <a:r>
              <a:rPr lang="en-US" sz="1800" baseline="0">
                <a:solidFill>
                  <a:sysClr val="windowText" lastClr="000000"/>
                </a:solidFill>
              </a:rPr>
              <a:t> - Season 8                                  With Standard Deviations</a:t>
            </a:r>
            <a:endParaRPr lang="en-US" sz="18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409389357962753"/>
          <c:y val="1.780739659205654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798038726211901"/>
          <c:y val="9.443668347793592E-2"/>
          <c:w val="0.81603596120726263"/>
          <c:h val="0.78825359007073881"/>
        </c:manualLayout>
      </c:layout>
      <c:scatterChart>
        <c:scatterStyle val="smoothMarker"/>
        <c:varyColors val="0"/>
        <c:ser>
          <c:idx val="5"/>
          <c:order val="0"/>
          <c:tx>
            <c:v>Season 8</c:v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'Modern Family'!$S$15:$S$38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Family'!$AA$15:$AA$38</c:f>
              <c:numCache>
                <c:formatCode>0.00</c:formatCode>
                <c:ptCount val="24"/>
                <c:pt idx="0">
                  <c:v>8.24</c:v>
                </c:pt>
                <c:pt idx="1">
                  <c:v>7.41</c:v>
                </c:pt>
                <c:pt idx="2">
                  <c:v>6.97</c:v>
                </c:pt>
                <c:pt idx="3">
                  <c:v>7.5</c:v>
                </c:pt>
                <c:pt idx="4">
                  <c:v>7.38</c:v>
                </c:pt>
                <c:pt idx="5">
                  <c:v>7.23</c:v>
                </c:pt>
                <c:pt idx="6">
                  <c:v>7.33</c:v>
                </c:pt>
                <c:pt idx="7">
                  <c:v>6.81</c:v>
                </c:pt>
                <c:pt idx="8">
                  <c:v>6.81</c:v>
                </c:pt>
                <c:pt idx="9">
                  <c:v>7.57</c:v>
                </c:pt>
                <c:pt idx="10">
                  <c:v>7.59</c:v>
                </c:pt>
              </c:numCache>
            </c:numRef>
          </c:yVal>
          <c:smooth val="1"/>
        </c:ser>
        <c:ser>
          <c:idx val="0"/>
          <c:order val="1"/>
          <c:tx>
            <c:v>Regression Predicted Season 8</c:v>
          </c:tx>
          <c:spPr>
            <a:ln w="38100">
              <a:solidFill>
                <a:sysClr val="windowText" lastClr="000000"/>
              </a:solidFill>
            </a:ln>
          </c:spPr>
          <c:marker>
            <c:symbol val="diamond"/>
            <c:size val="9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'Modern Family'!$AM$15:$AM$38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Family'!$AU$15:$AU$38</c:f>
              <c:numCache>
                <c:formatCode>0.00</c:formatCode>
                <c:ptCount val="24"/>
                <c:pt idx="0">
                  <c:v>7.5410130827134481</c:v>
                </c:pt>
                <c:pt idx="1">
                  <c:v>7.4713275250450577</c:v>
                </c:pt>
                <c:pt idx="2">
                  <c:v>7.4016419673766682</c:v>
                </c:pt>
                <c:pt idx="3">
                  <c:v>7.3319564097082788</c:v>
                </c:pt>
                <c:pt idx="4">
                  <c:v>7.2622708520398893</c:v>
                </c:pt>
                <c:pt idx="5">
                  <c:v>7.192585294371499</c:v>
                </c:pt>
                <c:pt idx="6">
                  <c:v>7.1228997367031095</c:v>
                </c:pt>
                <c:pt idx="7">
                  <c:v>7.05321417903472</c:v>
                </c:pt>
                <c:pt idx="8">
                  <c:v>6.9835286213663306</c:v>
                </c:pt>
                <c:pt idx="9">
                  <c:v>6.9138430636979411</c:v>
                </c:pt>
                <c:pt idx="10">
                  <c:v>6.8441575060295508</c:v>
                </c:pt>
              </c:numCache>
            </c:numRef>
          </c:yVal>
          <c:smooth val="1"/>
        </c:ser>
        <c:ser>
          <c:idx val="1"/>
          <c:order val="2"/>
          <c:tx>
            <c:v>-2 Std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'Modern Family'!$AM$50:$AM$73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Family'!$AU$50:$AU$73</c:f>
              <c:numCache>
                <c:formatCode>0.00</c:formatCode>
                <c:ptCount val="24"/>
                <c:pt idx="0">
                  <c:v>6.3240522117765163</c:v>
                </c:pt>
                <c:pt idx="1">
                  <c:v>6.2543666541081269</c:v>
                </c:pt>
                <c:pt idx="2">
                  <c:v>6.1846810964397374</c:v>
                </c:pt>
                <c:pt idx="3">
                  <c:v>6.1149955387713479</c:v>
                </c:pt>
                <c:pt idx="4">
                  <c:v>6.0453099811029576</c:v>
                </c:pt>
                <c:pt idx="5">
                  <c:v>5.9756244234345681</c:v>
                </c:pt>
                <c:pt idx="6">
                  <c:v>5.9059388657661787</c:v>
                </c:pt>
                <c:pt idx="7">
                  <c:v>5.8362533080977892</c:v>
                </c:pt>
                <c:pt idx="8">
                  <c:v>5.7665677504293988</c:v>
                </c:pt>
                <c:pt idx="9">
                  <c:v>5.6968821927610094</c:v>
                </c:pt>
                <c:pt idx="10">
                  <c:v>5.6271966350926199</c:v>
                </c:pt>
                <c:pt idx="11">
                  <c:v>5.5575110774242305</c:v>
                </c:pt>
                <c:pt idx="12">
                  <c:v>5.4878255197558401</c:v>
                </c:pt>
                <c:pt idx="13">
                  <c:v>5.4181399620874506</c:v>
                </c:pt>
                <c:pt idx="14">
                  <c:v>5.3484544044190612</c:v>
                </c:pt>
                <c:pt idx="15">
                  <c:v>5.2787688467506717</c:v>
                </c:pt>
                <c:pt idx="16">
                  <c:v>5.2090832890822822</c:v>
                </c:pt>
                <c:pt idx="17">
                  <c:v>5.1393977314138919</c:v>
                </c:pt>
                <c:pt idx="18">
                  <c:v>5.0697121737455024</c:v>
                </c:pt>
                <c:pt idx="19">
                  <c:v>5.000026616077113</c:v>
                </c:pt>
                <c:pt idx="20">
                  <c:v>4.9303410584087235</c:v>
                </c:pt>
                <c:pt idx="21">
                  <c:v>4.8606555007403331</c:v>
                </c:pt>
                <c:pt idx="22">
                  <c:v>4.7909699430719437</c:v>
                </c:pt>
                <c:pt idx="23">
                  <c:v>4.7212843854035542</c:v>
                </c:pt>
              </c:numCache>
            </c:numRef>
          </c:yVal>
          <c:smooth val="1"/>
        </c:ser>
        <c:ser>
          <c:idx val="2"/>
          <c:order val="3"/>
          <c:tx>
            <c:v>-1 Std</c:v>
          </c:tx>
          <c:spPr>
            <a:ln w="2222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'Modern Family'!$AM$50:$AM$73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Family'!$AV$50:$AV$73</c:f>
              <c:numCache>
                <c:formatCode>0.00</c:formatCode>
                <c:ptCount val="24"/>
                <c:pt idx="0">
                  <c:v>6.9325326472449813</c:v>
                </c:pt>
                <c:pt idx="1">
                  <c:v>6.8628470895765927</c:v>
                </c:pt>
                <c:pt idx="2">
                  <c:v>6.7931615319082024</c:v>
                </c:pt>
                <c:pt idx="3">
                  <c:v>6.7234759742398138</c:v>
                </c:pt>
                <c:pt idx="4">
                  <c:v>6.6537904165714226</c:v>
                </c:pt>
                <c:pt idx="5">
                  <c:v>6.584104858903034</c:v>
                </c:pt>
                <c:pt idx="6">
                  <c:v>6.5144193012346436</c:v>
                </c:pt>
                <c:pt idx="7">
                  <c:v>6.4447337435662551</c:v>
                </c:pt>
                <c:pt idx="8">
                  <c:v>6.3750481858978647</c:v>
                </c:pt>
                <c:pt idx="9">
                  <c:v>6.3053626282294752</c:v>
                </c:pt>
                <c:pt idx="10">
                  <c:v>6.2356770705610849</c:v>
                </c:pt>
                <c:pt idx="11">
                  <c:v>6.1659915128926963</c:v>
                </c:pt>
                <c:pt idx="12">
                  <c:v>6.096305955224306</c:v>
                </c:pt>
                <c:pt idx="13">
                  <c:v>6.0266203975559165</c:v>
                </c:pt>
                <c:pt idx="14">
                  <c:v>5.9569348398875261</c:v>
                </c:pt>
                <c:pt idx="15">
                  <c:v>5.8872492822191376</c:v>
                </c:pt>
                <c:pt idx="16">
                  <c:v>5.8175637245507472</c:v>
                </c:pt>
                <c:pt idx="17">
                  <c:v>5.7478781668823586</c:v>
                </c:pt>
                <c:pt idx="18">
                  <c:v>5.6781926092139674</c:v>
                </c:pt>
                <c:pt idx="19">
                  <c:v>5.6085070515455788</c:v>
                </c:pt>
                <c:pt idx="20">
                  <c:v>5.5388214938771885</c:v>
                </c:pt>
                <c:pt idx="21">
                  <c:v>5.4691359362087999</c:v>
                </c:pt>
                <c:pt idx="22">
                  <c:v>5.3994503785404087</c:v>
                </c:pt>
                <c:pt idx="23">
                  <c:v>5.3297648208720201</c:v>
                </c:pt>
              </c:numCache>
            </c:numRef>
          </c:yVal>
          <c:smooth val="1"/>
        </c:ser>
        <c:ser>
          <c:idx val="3"/>
          <c:order val="4"/>
          <c:tx>
            <c:v>+1 Std</c:v>
          </c:tx>
          <c:spPr>
            <a:ln w="2222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'Modern Family'!$AM$50:$AM$73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Family'!$AW$50:$AW$73</c:f>
              <c:numCache>
                <c:formatCode>0.00</c:formatCode>
                <c:ptCount val="24"/>
                <c:pt idx="0">
                  <c:v>8.149493518181913</c:v>
                </c:pt>
                <c:pt idx="1">
                  <c:v>8.0798079605135236</c:v>
                </c:pt>
                <c:pt idx="2">
                  <c:v>8.0101224028451341</c:v>
                </c:pt>
                <c:pt idx="3">
                  <c:v>7.9404368451767438</c:v>
                </c:pt>
                <c:pt idx="4">
                  <c:v>7.8707512875083552</c:v>
                </c:pt>
                <c:pt idx="5">
                  <c:v>7.8010657298399648</c:v>
                </c:pt>
                <c:pt idx="6">
                  <c:v>7.7313801721715754</c:v>
                </c:pt>
                <c:pt idx="7">
                  <c:v>7.661694614503185</c:v>
                </c:pt>
                <c:pt idx="8">
                  <c:v>7.5920090568347964</c:v>
                </c:pt>
                <c:pt idx="9">
                  <c:v>7.5223234991664061</c:v>
                </c:pt>
                <c:pt idx="10">
                  <c:v>7.4526379414980175</c:v>
                </c:pt>
                <c:pt idx="11">
                  <c:v>7.3829523838296263</c:v>
                </c:pt>
                <c:pt idx="12">
                  <c:v>7.3132668261612377</c:v>
                </c:pt>
                <c:pt idx="13">
                  <c:v>7.2435812684928473</c:v>
                </c:pt>
                <c:pt idx="14">
                  <c:v>7.1738957108244588</c:v>
                </c:pt>
                <c:pt idx="15">
                  <c:v>7.1042101531560675</c:v>
                </c:pt>
                <c:pt idx="16">
                  <c:v>7.0345245954876789</c:v>
                </c:pt>
                <c:pt idx="17">
                  <c:v>6.9648390378192886</c:v>
                </c:pt>
                <c:pt idx="18">
                  <c:v>6.8951534801509</c:v>
                </c:pt>
                <c:pt idx="19">
                  <c:v>6.8254679224825088</c:v>
                </c:pt>
                <c:pt idx="20">
                  <c:v>6.7557823648141202</c:v>
                </c:pt>
                <c:pt idx="21">
                  <c:v>6.6860968071457298</c:v>
                </c:pt>
                <c:pt idx="22">
                  <c:v>6.6164112494773413</c:v>
                </c:pt>
                <c:pt idx="23">
                  <c:v>6.54672569180895</c:v>
                </c:pt>
              </c:numCache>
            </c:numRef>
          </c:yVal>
          <c:smooth val="1"/>
        </c:ser>
        <c:ser>
          <c:idx val="4"/>
          <c:order val="5"/>
          <c:tx>
            <c:v>+2 Std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'Modern Family'!$AM$50:$AM$73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'Modern Family'!$AX$50:$AX$73</c:f>
              <c:numCache>
                <c:formatCode>0.00</c:formatCode>
                <c:ptCount val="24"/>
                <c:pt idx="0">
                  <c:v>8.7579739536503798</c:v>
                </c:pt>
                <c:pt idx="1">
                  <c:v>8.6882883959819903</c:v>
                </c:pt>
                <c:pt idx="2">
                  <c:v>8.6186028383135991</c:v>
                </c:pt>
                <c:pt idx="3">
                  <c:v>8.5489172806452096</c:v>
                </c:pt>
                <c:pt idx="4">
                  <c:v>8.4792317229768202</c:v>
                </c:pt>
                <c:pt idx="5">
                  <c:v>8.4095461653084307</c:v>
                </c:pt>
                <c:pt idx="6">
                  <c:v>8.3398606076400412</c:v>
                </c:pt>
                <c:pt idx="7">
                  <c:v>8.27017504997165</c:v>
                </c:pt>
                <c:pt idx="8">
                  <c:v>8.2004894923032623</c:v>
                </c:pt>
                <c:pt idx="9">
                  <c:v>8.1308039346348711</c:v>
                </c:pt>
                <c:pt idx="10">
                  <c:v>8.0611183769664816</c:v>
                </c:pt>
                <c:pt idx="11">
                  <c:v>7.9914328192980921</c:v>
                </c:pt>
                <c:pt idx="12">
                  <c:v>7.9217472616297027</c:v>
                </c:pt>
                <c:pt idx="13">
                  <c:v>7.8520617039613132</c:v>
                </c:pt>
                <c:pt idx="14">
                  <c:v>7.7823761462929237</c:v>
                </c:pt>
                <c:pt idx="15">
                  <c:v>7.7126905886245343</c:v>
                </c:pt>
                <c:pt idx="16">
                  <c:v>7.6430050309561439</c:v>
                </c:pt>
                <c:pt idx="17">
                  <c:v>7.5733194732877545</c:v>
                </c:pt>
                <c:pt idx="18">
                  <c:v>7.503633915619365</c:v>
                </c:pt>
                <c:pt idx="19">
                  <c:v>7.4339483579509755</c:v>
                </c:pt>
                <c:pt idx="20">
                  <c:v>7.3642628002825852</c:v>
                </c:pt>
                <c:pt idx="21">
                  <c:v>7.2945772426141957</c:v>
                </c:pt>
                <c:pt idx="22">
                  <c:v>7.2248916849458062</c:v>
                </c:pt>
                <c:pt idx="23">
                  <c:v>7.1552061272774168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231552"/>
        <c:axId val="157630464"/>
      </c:scatterChart>
      <c:valAx>
        <c:axId val="156231552"/>
        <c:scaling>
          <c:orientation val="minMax"/>
          <c:max val="2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Episode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630464"/>
        <c:crosses val="autoZero"/>
        <c:crossBetween val="midCat"/>
      </c:valAx>
      <c:valAx>
        <c:axId val="1576304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>
                    <a:solidFill>
                      <a:sysClr val="windowText" lastClr="000000"/>
                    </a:solidFill>
                  </a:rPr>
                  <a:t> Number Of Viewers By (Millions)</a:t>
                </a:r>
                <a:endParaRPr lang="en-US" sz="16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31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521208744100246"/>
          <c:y val="0.58389299103192793"/>
          <c:w val="0.44082110301995342"/>
          <c:h val="0.2787897257518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571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Of Regression Error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'Modern Family'!$CG$50:$CG$70</c:f>
              <c:numCache>
                <c:formatCode>General</c:formatCode>
                <c:ptCount val="21"/>
                <c:pt idx="0">
                  <c:v>-0.2</c:v>
                </c:pt>
                <c:pt idx="1">
                  <c:v>-0.18000000000000002</c:v>
                </c:pt>
                <c:pt idx="2">
                  <c:v>-0.16000000000000003</c:v>
                </c:pt>
                <c:pt idx="3">
                  <c:v>-0.14000000000000004</c:v>
                </c:pt>
                <c:pt idx="4">
                  <c:v>-0.12000000000000004</c:v>
                </c:pt>
                <c:pt idx="5">
                  <c:v>-0.10000000000000003</c:v>
                </c:pt>
                <c:pt idx="6">
                  <c:v>-8.0000000000000029E-2</c:v>
                </c:pt>
                <c:pt idx="7">
                  <c:v>-6.0000000000000026E-2</c:v>
                </c:pt>
                <c:pt idx="8">
                  <c:v>-4.0000000000000022E-2</c:v>
                </c:pt>
                <c:pt idx="9">
                  <c:v>-2.0000000000000021E-2</c:v>
                </c:pt>
                <c:pt idx="10">
                  <c:v>0</c:v>
                </c:pt>
                <c:pt idx="11">
                  <c:v>0.02</c:v>
                </c:pt>
                <c:pt idx="12">
                  <c:v>0.04</c:v>
                </c:pt>
                <c:pt idx="13">
                  <c:v>0.06</c:v>
                </c:pt>
                <c:pt idx="14">
                  <c:v>0.08</c:v>
                </c:pt>
                <c:pt idx="15">
                  <c:v>0.1</c:v>
                </c:pt>
                <c:pt idx="16">
                  <c:v>0.12000000000000001</c:v>
                </c:pt>
                <c:pt idx="17">
                  <c:v>0.14000000000000001</c:v>
                </c:pt>
                <c:pt idx="18">
                  <c:v>0.16</c:v>
                </c:pt>
                <c:pt idx="19">
                  <c:v>0.18</c:v>
                </c:pt>
                <c:pt idx="20">
                  <c:v>0.19999999999999998</c:v>
                </c:pt>
              </c:numCache>
            </c:numRef>
          </c:cat>
          <c:val>
            <c:numRef>
              <c:f>'Modern Family'!$CH$50:$CH$70</c:f>
              <c:numCache>
                <c:formatCode>General</c:formatCode>
                <c:ptCount val="21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17</c:v>
                </c:pt>
                <c:pt idx="7">
                  <c:v>8</c:v>
                </c:pt>
                <c:pt idx="8">
                  <c:v>13</c:v>
                </c:pt>
                <c:pt idx="9">
                  <c:v>22</c:v>
                </c:pt>
                <c:pt idx="10">
                  <c:v>24</c:v>
                </c:pt>
                <c:pt idx="11">
                  <c:v>20</c:v>
                </c:pt>
                <c:pt idx="12">
                  <c:v>13</c:v>
                </c:pt>
                <c:pt idx="13">
                  <c:v>16</c:v>
                </c:pt>
                <c:pt idx="14">
                  <c:v>8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69632"/>
        <c:axId val="157680000"/>
      </c:barChart>
      <c:scatterChart>
        <c:scatterStyle val="smoothMarker"/>
        <c:varyColors val="0"/>
        <c:ser>
          <c:idx val="1"/>
          <c:order val="1"/>
          <c:spPr>
            <a:ln w="117475"/>
          </c:spPr>
          <c:marker>
            <c:symbol val="none"/>
          </c:marker>
          <c:xVal>
            <c:numRef>
              <c:f>'Modern Family'!$CC$89:$CC$109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'Modern Family'!$CE$89:$CE$109</c:f>
              <c:numCache>
                <c:formatCode>General</c:formatCode>
                <c:ptCount val="21"/>
                <c:pt idx="0">
                  <c:v>0.45801161847952526</c:v>
                </c:pt>
                <c:pt idx="1">
                  <c:v>0.91942947450644308</c:v>
                </c:pt>
                <c:pt idx="2">
                  <c:v>1.7151547248327708</c:v>
                </c:pt>
                <c:pt idx="3">
                  <c:v>2.9732480391464899</c:v>
                </c:pt>
                <c:pt idx="4">
                  <c:v>4.7896296463372652</c:v>
                </c:pt>
                <c:pt idx="5">
                  <c:v>7.1699426269076039</c:v>
                </c:pt>
                <c:pt idx="6">
                  <c:v>9.9740693319054117</c:v>
                </c:pt>
                <c:pt idx="7">
                  <c:v>12.893536085874931</c:v>
                </c:pt>
                <c:pt idx="8">
                  <c:v>15.488688745653636</c:v>
                </c:pt>
                <c:pt idx="9">
                  <c:v>17.290208080959193</c:v>
                </c:pt>
                <c:pt idx="10">
                  <c:v>17.93612997282888</c:v>
                </c:pt>
                <c:pt idx="11">
                  <c:v>17.290208080959196</c:v>
                </c:pt>
                <c:pt idx="12">
                  <c:v>15.488688745653638</c:v>
                </c:pt>
                <c:pt idx="13">
                  <c:v>12.893536085874933</c:v>
                </c:pt>
                <c:pt idx="14">
                  <c:v>9.974069331905417</c:v>
                </c:pt>
                <c:pt idx="15">
                  <c:v>7.1699426269076074</c:v>
                </c:pt>
                <c:pt idx="16">
                  <c:v>4.7896296463372661</c:v>
                </c:pt>
                <c:pt idx="17">
                  <c:v>2.9732480391464908</c:v>
                </c:pt>
                <c:pt idx="18">
                  <c:v>1.7151547248327732</c:v>
                </c:pt>
                <c:pt idx="19">
                  <c:v>0.91942947450644308</c:v>
                </c:pt>
                <c:pt idx="20">
                  <c:v>0.45801161847952565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669632"/>
        <c:axId val="157680000"/>
      </c:scatterChart>
      <c:catAx>
        <c:axId val="15766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Amount Of Error (Normalized Results)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57680000"/>
        <c:crosses val="autoZero"/>
        <c:auto val="1"/>
        <c:lblAlgn val="ctr"/>
        <c:lblOffset val="100"/>
        <c:noMultiLvlLbl val="0"/>
      </c:catAx>
      <c:valAx>
        <c:axId val="1576800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Number Of Episodes</a:t>
                </a:r>
                <a:r>
                  <a:rPr lang="en-US" sz="1800" baseline="0"/>
                  <a:t> With Each Error Amount</a:t>
                </a:r>
                <a:endParaRPr lang="en-US" sz="18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57669632"/>
        <c:crosses val="autoZero"/>
        <c:crossBetween val="between"/>
      </c:valAx>
    </c:plotArea>
    <c:plotVisOnly val="1"/>
    <c:dispBlanksAs val="gap"/>
    <c:showDLblsOverMax val="0"/>
  </c:chart>
  <c:spPr>
    <a:ln w="7620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Multiple</a:t>
            </a:r>
            <a:r>
              <a:rPr lang="en-US" baseline="0">
                <a:solidFill>
                  <a:sysClr val="windowText" lastClr="000000"/>
                </a:solidFill>
              </a:rPr>
              <a:t> Regression Of Modern Family Data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843095951751402"/>
          <c:y val="0.17186796491148695"/>
          <c:w val="0.83777633768478066"/>
          <c:h val="0.67107729849682163"/>
        </c:manualLayout>
      </c:layout>
      <c:lineChart>
        <c:grouping val="standard"/>
        <c:varyColors val="0"/>
        <c:ser>
          <c:idx val="0"/>
          <c:order val="0"/>
          <c:tx>
            <c:v>Modern Family Viewers</c:v>
          </c:tx>
          <c:spPr>
            <a:ln w="349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'Modern Family Multiple Regressi'!$AG$15:$AG$132</c:f>
              <c:numCache>
                <c:formatCode>General</c:formatCode>
                <c:ptCount val="11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60</c:v>
                </c:pt>
                <c:pt idx="12">
                  <c:v>61</c:v>
                </c:pt>
                <c:pt idx="13">
                  <c:v>62</c:v>
                </c:pt>
                <c:pt idx="14">
                  <c:v>63</c:v>
                </c:pt>
                <c:pt idx="15">
                  <c:v>64</c:v>
                </c:pt>
                <c:pt idx="16">
                  <c:v>65</c:v>
                </c:pt>
                <c:pt idx="17">
                  <c:v>66</c:v>
                </c:pt>
                <c:pt idx="18">
                  <c:v>67</c:v>
                </c:pt>
                <c:pt idx="19">
                  <c:v>68</c:v>
                </c:pt>
                <c:pt idx="20">
                  <c:v>69</c:v>
                </c:pt>
                <c:pt idx="21">
                  <c:v>70</c:v>
                </c:pt>
                <c:pt idx="22">
                  <c:v>71</c:v>
                </c:pt>
                <c:pt idx="23">
                  <c:v>72</c:v>
                </c:pt>
                <c:pt idx="24">
                  <c:v>73</c:v>
                </c:pt>
                <c:pt idx="25">
                  <c:v>74</c:v>
                </c:pt>
                <c:pt idx="26">
                  <c:v>75</c:v>
                </c:pt>
                <c:pt idx="27">
                  <c:v>76</c:v>
                </c:pt>
                <c:pt idx="28">
                  <c:v>77</c:v>
                </c:pt>
                <c:pt idx="29">
                  <c:v>78</c:v>
                </c:pt>
                <c:pt idx="30">
                  <c:v>79</c:v>
                </c:pt>
                <c:pt idx="31">
                  <c:v>80</c:v>
                </c:pt>
                <c:pt idx="32">
                  <c:v>81</c:v>
                </c:pt>
                <c:pt idx="33">
                  <c:v>82</c:v>
                </c:pt>
                <c:pt idx="34">
                  <c:v>83</c:v>
                </c:pt>
                <c:pt idx="35">
                  <c:v>84</c:v>
                </c:pt>
                <c:pt idx="36">
                  <c:v>85</c:v>
                </c:pt>
                <c:pt idx="37">
                  <c:v>86</c:v>
                </c:pt>
                <c:pt idx="38">
                  <c:v>87</c:v>
                </c:pt>
                <c:pt idx="39">
                  <c:v>88</c:v>
                </c:pt>
                <c:pt idx="40">
                  <c:v>89</c:v>
                </c:pt>
                <c:pt idx="41">
                  <c:v>90</c:v>
                </c:pt>
                <c:pt idx="42">
                  <c:v>91</c:v>
                </c:pt>
                <c:pt idx="43">
                  <c:v>92</c:v>
                </c:pt>
                <c:pt idx="44">
                  <c:v>93</c:v>
                </c:pt>
                <c:pt idx="45">
                  <c:v>94</c:v>
                </c:pt>
                <c:pt idx="46">
                  <c:v>95</c:v>
                </c:pt>
                <c:pt idx="47">
                  <c:v>96</c:v>
                </c:pt>
                <c:pt idx="48">
                  <c:v>97</c:v>
                </c:pt>
                <c:pt idx="49">
                  <c:v>98</c:v>
                </c:pt>
                <c:pt idx="50">
                  <c:v>99</c:v>
                </c:pt>
                <c:pt idx="51">
                  <c:v>100</c:v>
                </c:pt>
                <c:pt idx="52">
                  <c:v>101</c:v>
                </c:pt>
                <c:pt idx="53">
                  <c:v>102</c:v>
                </c:pt>
                <c:pt idx="54">
                  <c:v>103</c:v>
                </c:pt>
                <c:pt idx="55">
                  <c:v>104</c:v>
                </c:pt>
                <c:pt idx="56">
                  <c:v>105</c:v>
                </c:pt>
                <c:pt idx="57">
                  <c:v>106</c:v>
                </c:pt>
                <c:pt idx="58">
                  <c:v>107</c:v>
                </c:pt>
                <c:pt idx="59">
                  <c:v>108</c:v>
                </c:pt>
                <c:pt idx="60">
                  <c:v>109</c:v>
                </c:pt>
                <c:pt idx="61">
                  <c:v>110</c:v>
                </c:pt>
                <c:pt idx="62">
                  <c:v>111</c:v>
                </c:pt>
                <c:pt idx="63">
                  <c:v>112</c:v>
                </c:pt>
                <c:pt idx="64">
                  <c:v>113</c:v>
                </c:pt>
                <c:pt idx="65">
                  <c:v>114</c:v>
                </c:pt>
                <c:pt idx="66">
                  <c:v>115</c:v>
                </c:pt>
                <c:pt idx="67">
                  <c:v>116</c:v>
                </c:pt>
                <c:pt idx="68">
                  <c:v>117</c:v>
                </c:pt>
                <c:pt idx="69">
                  <c:v>118</c:v>
                </c:pt>
                <c:pt idx="70">
                  <c:v>119</c:v>
                </c:pt>
                <c:pt idx="71">
                  <c:v>120</c:v>
                </c:pt>
                <c:pt idx="72">
                  <c:v>121</c:v>
                </c:pt>
                <c:pt idx="73">
                  <c:v>122</c:v>
                </c:pt>
                <c:pt idx="74">
                  <c:v>123</c:v>
                </c:pt>
                <c:pt idx="75">
                  <c:v>124</c:v>
                </c:pt>
                <c:pt idx="76">
                  <c:v>125</c:v>
                </c:pt>
                <c:pt idx="77">
                  <c:v>126</c:v>
                </c:pt>
                <c:pt idx="78">
                  <c:v>127</c:v>
                </c:pt>
                <c:pt idx="79">
                  <c:v>128</c:v>
                </c:pt>
                <c:pt idx="80">
                  <c:v>129</c:v>
                </c:pt>
                <c:pt idx="81">
                  <c:v>130</c:v>
                </c:pt>
                <c:pt idx="82">
                  <c:v>131</c:v>
                </c:pt>
                <c:pt idx="83">
                  <c:v>132</c:v>
                </c:pt>
                <c:pt idx="84">
                  <c:v>133</c:v>
                </c:pt>
                <c:pt idx="85">
                  <c:v>134</c:v>
                </c:pt>
                <c:pt idx="86">
                  <c:v>135</c:v>
                </c:pt>
                <c:pt idx="87">
                  <c:v>136</c:v>
                </c:pt>
                <c:pt idx="88">
                  <c:v>137</c:v>
                </c:pt>
                <c:pt idx="89">
                  <c:v>138</c:v>
                </c:pt>
                <c:pt idx="90">
                  <c:v>139</c:v>
                </c:pt>
                <c:pt idx="91">
                  <c:v>140</c:v>
                </c:pt>
                <c:pt idx="92">
                  <c:v>141</c:v>
                </c:pt>
                <c:pt idx="93">
                  <c:v>142</c:v>
                </c:pt>
                <c:pt idx="94">
                  <c:v>143</c:v>
                </c:pt>
                <c:pt idx="95">
                  <c:v>144</c:v>
                </c:pt>
                <c:pt idx="96">
                  <c:v>145</c:v>
                </c:pt>
                <c:pt idx="97">
                  <c:v>146</c:v>
                </c:pt>
                <c:pt idx="98">
                  <c:v>147</c:v>
                </c:pt>
                <c:pt idx="99">
                  <c:v>148</c:v>
                </c:pt>
                <c:pt idx="100">
                  <c:v>149</c:v>
                </c:pt>
                <c:pt idx="101">
                  <c:v>150</c:v>
                </c:pt>
                <c:pt idx="102">
                  <c:v>151</c:v>
                </c:pt>
                <c:pt idx="103">
                  <c:v>152</c:v>
                </c:pt>
                <c:pt idx="104">
                  <c:v>153</c:v>
                </c:pt>
                <c:pt idx="105">
                  <c:v>154</c:v>
                </c:pt>
                <c:pt idx="106">
                  <c:v>155</c:v>
                </c:pt>
                <c:pt idx="107">
                  <c:v>156</c:v>
                </c:pt>
                <c:pt idx="108">
                  <c:v>157</c:v>
                </c:pt>
                <c:pt idx="109">
                  <c:v>158</c:v>
                </c:pt>
                <c:pt idx="110">
                  <c:v>159</c:v>
                </c:pt>
                <c:pt idx="111">
                  <c:v>160</c:v>
                </c:pt>
                <c:pt idx="112">
                  <c:v>161</c:v>
                </c:pt>
                <c:pt idx="113">
                  <c:v>162</c:v>
                </c:pt>
                <c:pt idx="114">
                  <c:v>163</c:v>
                </c:pt>
                <c:pt idx="115">
                  <c:v>164</c:v>
                </c:pt>
                <c:pt idx="116">
                  <c:v>165</c:v>
                </c:pt>
                <c:pt idx="117">
                  <c:v>166</c:v>
                </c:pt>
              </c:numCache>
            </c:numRef>
          </c:cat>
          <c:val>
            <c:numRef>
              <c:f>'Modern Family Multiple Regressi'!$AJ$15:$AJ$132</c:f>
              <c:numCache>
                <c:formatCode>0.00</c:formatCode>
                <c:ptCount val="118"/>
                <c:pt idx="0">
                  <c:v>14.52</c:v>
                </c:pt>
                <c:pt idx="1">
                  <c:v>14.54</c:v>
                </c:pt>
                <c:pt idx="2">
                  <c:v>13.45</c:v>
                </c:pt>
                <c:pt idx="3">
                  <c:v>13.24</c:v>
                </c:pt>
                <c:pt idx="4">
                  <c:v>13.65</c:v>
                </c:pt>
                <c:pt idx="5">
                  <c:v>13.04</c:v>
                </c:pt>
                <c:pt idx="6">
                  <c:v>13.37</c:v>
                </c:pt>
                <c:pt idx="7">
                  <c:v>12.91</c:v>
                </c:pt>
                <c:pt idx="8">
                  <c:v>12.72</c:v>
                </c:pt>
                <c:pt idx="9">
                  <c:v>12.2</c:v>
                </c:pt>
                <c:pt idx="10">
                  <c:v>14.03</c:v>
                </c:pt>
                <c:pt idx="11">
                  <c:v>12.12</c:v>
                </c:pt>
                <c:pt idx="12">
                  <c:v>11.89</c:v>
                </c:pt>
                <c:pt idx="13">
                  <c:v>12.9</c:v>
                </c:pt>
                <c:pt idx="14">
                  <c:v>11.23</c:v>
                </c:pt>
                <c:pt idx="15">
                  <c:v>11.54</c:v>
                </c:pt>
                <c:pt idx="16">
                  <c:v>11.63</c:v>
                </c:pt>
                <c:pt idx="17">
                  <c:v>10.6</c:v>
                </c:pt>
                <c:pt idx="18">
                  <c:v>10.35</c:v>
                </c:pt>
                <c:pt idx="19">
                  <c:v>10.210000000000001</c:v>
                </c:pt>
                <c:pt idx="20">
                  <c:v>10.06</c:v>
                </c:pt>
                <c:pt idx="21">
                  <c:v>10.58</c:v>
                </c:pt>
                <c:pt idx="22">
                  <c:v>9.36</c:v>
                </c:pt>
                <c:pt idx="23">
                  <c:v>10.07</c:v>
                </c:pt>
                <c:pt idx="24">
                  <c:v>14.44</c:v>
                </c:pt>
                <c:pt idx="25">
                  <c:v>12.08</c:v>
                </c:pt>
                <c:pt idx="26">
                  <c:v>12.31</c:v>
                </c:pt>
                <c:pt idx="27">
                  <c:v>12.28</c:v>
                </c:pt>
                <c:pt idx="28">
                  <c:v>12.52</c:v>
                </c:pt>
                <c:pt idx="29">
                  <c:v>10.62</c:v>
                </c:pt>
                <c:pt idx="30">
                  <c:v>12.43</c:v>
                </c:pt>
                <c:pt idx="31">
                  <c:v>11.89</c:v>
                </c:pt>
                <c:pt idx="32">
                  <c:v>12.01</c:v>
                </c:pt>
                <c:pt idx="33">
                  <c:v>10.94</c:v>
                </c:pt>
                <c:pt idx="34">
                  <c:v>12.04</c:v>
                </c:pt>
                <c:pt idx="35">
                  <c:v>11.01</c:v>
                </c:pt>
                <c:pt idx="36">
                  <c:v>10.83</c:v>
                </c:pt>
                <c:pt idx="37">
                  <c:v>9.83</c:v>
                </c:pt>
                <c:pt idx="38">
                  <c:v>10.050000000000001</c:v>
                </c:pt>
                <c:pt idx="39">
                  <c:v>10.62</c:v>
                </c:pt>
                <c:pt idx="40">
                  <c:v>10.53</c:v>
                </c:pt>
                <c:pt idx="41">
                  <c:v>9.09</c:v>
                </c:pt>
                <c:pt idx="42">
                  <c:v>10.88</c:v>
                </c:pt>
                <c:pt idx="43">
                  <c:v>10.38</c:v>
                </c:pt>
                <c:pt idx="44">
                  <c:v>9.64</c:v>
                </c:pt>
                <c:pt idx="45">
                  <c:v>9.02</c:v>
                </c:pt>
                <c:pt idx="46">
                  <c:v>10.029999999999999</c:v>
                </c:pt>
                <c:pt idx="47">
                  <c:v>10.01</c:v>
                </c:pt>
                <c:pt idx="48">
                  <c:v>11.71</c:v>
                </c:pt>
                <c:pt idx="49">
                  <c:v>11.65</c:v>
                </c:pt>
                <c:pt idx="50">
                  <c:v>11.12</c:v>
                </c:pt>
                <c:pt idx="51">
                  <c:v>10.64</c:v>
                </c:pt>
                <c:pt idx="52">
                  <c:v>10.94</c:v>
                </c:pt>
                <c:pt idx="53">
                  <c:v>10.32</c:v>
                </c:pt>
                <c:pt idx="54">
                  <c:v>10.75</c:v>
                </c:pt>
                <c:pt idx="55">
                  <c:v>10.19</c:v>
                </c:pt>
                <c:pt idx="56">
                  <c:v>9.4700000000000006</c:v>
                </c:pt>
                <c:pt idx="57">
                  <c:v>10.61</c:v>
                </c:pt>
                <c:pt idx="58">
                  <c:v>9.51</c:v>
                </c:pt>
                <c:pt idx="59">
                  <c:v>9.14</c:v>
                </c:pt>
                <c:pt idx="60">
                  <c:v>9.59</c:v>
                </c:pt>
                <c:pt idx="61">
                  <c:v>9.8699999999999992</c:v>
                </c:pt>
                <c:pt idx="62">
                  <c:v>8.52</c:v>
                </c:pt>
                <c:pt idx="63">
                  <c:v>9.2200000000000006</c:v>
                </c:pt>
                <c:pt idx="64">
                  <c:v>9.39</c:v>
                </c:pt>
                <c:pt idx="65">
                  <c:v>10.09</c:v>
                </c:pt>
                <c:pt idx="66">
                  <c:v>9</c:v>
                </c:pt>
                <c:pt idx="67">
                  <c:v>9.59</c:v>
                </c:pt>
                <c:pt idx="68">
                  <c:v>8.39</c:v>
                </c:pt>
                <c:pt idx="69">
                  <c:v>8.5500000000000007</c:v>
                </c:pt>
                <c:pt idx="70">
                  <c:v>9.08</c:v>
                </c:pt>
                <c:pt idx="71">
                  <c:v>10.45</c:v>
                </c:pt>
                <c:pt idx="72">
                  <c:v>11.38</c:v>
                </c:pt>
                <c:pt idx="73">
                  <c:v>10.56</c:v>
                </c:pt>
                <c:pt idx="74">
                  <c:v>10.3</c:v>
                </c:pt>
                <c:pt idx="75">
                  <c:v>9.7100000000000009</c:v>
                </c:pt>
                <c:pt idx="76">
                  <c:v>10.16</c:v>
                </c:pt>
                <c:pt idx="77">
                  <c:v>9.92</c:v>
                </c:pt>
                <c:pt idx="78">
                  <c:v>9.83</c:v>
                </c:pt>
                <c:pt idx="79">
                  <c:v>10.88</c:v>
                </c:pt>
                <c:pt idx="80">
                  <c:v>9.02</c:v>
                </c:pt>
                <c:pt idx="81">
                  <c:v>9.69</c:v>
                </c:pt>
                <c:pt idx="82">
                  <c:v>9.2899999999999991</c:v>
                </c:pt>
                <c:pt idx="83">
                  <c:v>9.44</c:v>
                </c:pt>
                <c:pt idx="84">
                  <c:v>9.8699999999999992</c:v>
                </c:pt>
                <c:pt idx="85">
                  <c:v>9.77</c:v>
                </c:pt>
                <c:pt idx="86">
                  <c:v>8.8000000000000007</c:v>
                </c:pt>
                <c:pt idx="87">
                  <c:v>9.32</c:v>
                </c:pt>
                <c:pt idx="88">
                  <c:v>9.61</c:v>
                </c:pt>
                <c:pt idx="89">
                  <c:v>8.7100000000000009</c:v>
                </c:pt>
                <c:pt idx="90">
                  <c:v>9.43</c:v>
                </c:pt>
                <c:pt idx="91">
                  <c:v>8.85</c:v>
                </c:pt>
                <c:pt idx="92">
                  <c:v>8</c:v>
                </c:pt>
                <c:pt idx="93">
                  <c:v>8.57</c:v>
                </c:pt>
                <c:pt idx="94">
                  <c:v>8.1300000000000008</c:v>
                </c:pt>
                <c:pt idx="95">
                  <c:v>7.2</c:v>
                </c:pt>
                <c:pt idx="96">
                  <c:v>9.4600000000000009</c:v>
                </c:pt>
                <c:pt idx="97">
                  <c:v>8.7200000000000006</c:v>
                </c:pt>
                <c:pt idx="98">
                  <c:v>7.99</c:v>
                </c:pt>
                <c:pt idx="99">
                  <c:v>7.88</c:v>
                </c:pt>
                <c:pt idx="100">
                  <c:v>7.8</c:v>
                </c:pt>
                <c:pt idx="101">
                  <c:v>8.15</c:v>
                </c:pt>
                <c:pt idx="102">
                  <c:v>8.3800000000000008</c:v>
                </c:pt>
                <c:pt idx="103">
                  <c:v>7.35</c:v>
                </c:pt>
                <c:pt idx="104">
                  <c:v>8.1999999999999993</c:v>
                </c:pt>
                <c:pt idx="105">
                  <c:v>8.35</c:v>
                </c:pt>
                <c:pt idx="106">
                  <c:v>8.17</c:v>
                </c:pt>
                <c:pt idx="107">
                  <c:v>7.8</c:v>
                </c:pt>
                <c:pt idx="108">
                  <c:v>7.48</c:v>
                </c:pt>
                <c:pt idx="109">
                  <c:v>8.1</c:v>
                </c:pt>
                <c:pt idx="110">
                  <c:v>8.2200000000000006</c:v>
                </c:pt>
                <c:pt idx="111">
                  <c:v>8.14</c:v>
                </c:pt>
                <c:pt idx="112">
                  <c:v>7.69</c:v>
                </c:pt>
                <c:pt idx="113">
                  <c:v>7.51</c:v>
                </c:pt>
                <c:pt idx="114">
                  <c:v>7.44</c:v>
                </c:pt>
                <c:pt idx="115">
                  <c:v>7.42</c:v>
                </c:pt>
                <c:pt idx="116">
                  <c:v>7.16</c:v>
                </c:pt>
                <c:pt idx="117">
                  <c:v>6.79</c:v>
                </c:pt>
              </c:numCache>
            </c:numRef>
          </c:val>
          <c:smooth val="0"/>
        </c:ser>
        <c:ser>
          <c:idx val="2"/>
          <c:order val="1"/>
          <c:tx>
            <c:v>Regression Prediction</c:v>
          </c:tx>
          <c:spPr>
            <a:ln w="571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'Modern Family Multiple Regressi'!$AG$15:$AG$132</c:f>
              <c:numCache>
                <c:formatCode>General</c:formatCode>
                <c:ptCount val="11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60</c:v>
                </c:pt>
                <c:pt idx="12">
                  <c:v>61</c:v>
                </c:pt>
                <c:pt idx="13">
                  <c:v>62</c:v>
                </c:pt>
                <c:pt idx="14">
                  <c:v>63</c:v>
                </c:pt>
                <c:pt idx="15">
                  <c:v>64</c:v>
                </c:pt>
                <c:pt idx="16">
                  <c:v>65</c:v>
                </c:pt>
                <c:pt idx="17">
                  <c:v>66</c:v>
                </c:pt>
                <c:pt idx="18">
                  <c:v>67</c:v>
                </c:pt>
                <c:pt idx="19">
                  <c:v>68</c:v>
                </c:pt>
                <c:pt idx="20">
                  <c:v>69</c:v>
                </c:pt>
                <c:pt idx="21">
                  <c:v>70</c:v>
                </c:pt>
                <c:pt idx="22">
                  <c:v>71</c:v>
                </c:pt>
                <c:pt idx="23">
                  <c:v>72</c:v>
                </c:pt>
                <c:pt idx="24">
                  <c:v>73</c:v>
                </c:pt>
                <c:pt idx="25">
                  <c:v>74</c:v>
                </c:pt>
                <c:pt idx="26">
                  <c:v>75</c:v>
                </c:pt>
                <c:pt idx="27">
                  <c:v>76</c:v>
                </c:pt>
                <c:pt idx="28">
                  <c:v>77</c:v>
                </c:pt>
                <c:pt idx="29">
                  <c:v>78</c:v>
                </c:pt>
                <c:pt idx="30">
                  <c:v>79</c:v>
                </c:pt>
                <c:pt idx="31">
                  <c:v>80</c:v>
                </c:pt>
                <c:pt idx="32">
                  <c:v>81</c:v>
                </c:pt>
                <c:pt idx="33">
                  <c:v>82</c:v>
                </c:pt>
                <c:pt idx="34">
                  <c:v>83</c:v>
                </c:pt>
                <c:pt idx="35">
                  <c:v>84</c:v>
                </c:pt>
                <c:pt idx="36">
                  <c:v>85</c:v>
                </c:pt>
                <c:pt idx="37">
                  <c:v>86</c:v>
                </c:pt>
                <c:pt idx="38">
                  <c:v>87</c:v>
                </c:pt>
                <c:pt idx="39">
                  <c:v>88</c:v>
                </c:pt>
                <c:pt idx="40">
                  <c:v>89</c:v>
                </c:pt>
                <c:pt idx="41">
                  <c:v>90</c:v>
                </c:pt>
                <c:pt idx="42">
                  <c:v>91</c:v>
                </c:pt>
                <c:pt idx="43">
                  <c:v>92</c:v>
                </c:pt>
                <c:pt idx="44">
                  <c:v>93</c:v>
                </c:pt>
                <c:pt idx="45">
                  <c:v>94</c:v>
                </c:pt>
                <c:pt idx="46">
                  <c:v>95</c:v>
                </c:pt>
                <c:pt idx="47">
                  <c:v>96</c:v>
                </c:pt>
                <c:pt idx="48">
                  <c:v>97</c:v>
                </c:pt>
                <c:pt idx="49">
                  <c:v>98</c:v>
                </c:pt>
                <c:pt idx="50">
                  <c:v>99</c:v>
                </c:pt>
                <c:pt idx="51">
                  <c:v>100</c:v>
                </c:pt>
                <c:pt idx="52">
                  <c:v>101</c:v>
                </c:pt>
                <c:pt idx="53">
                  <c:v>102</c:v>
                </c:pt>
                <c:pt idx="54">
                  <c:v>103</c:v>
                </c:pt>
                <c:pt idx="55">
                  <c:v>104</c:v>
                </c:pt>
                <c:pt idx="56">
                  <c:v>105</c:v>
                </c:pt>
                <c:pt idx="57">
                  <c:v>106</c:v>
                </c:pt>
                <c:pt idx="58">
                  <c:v>107</c:v>
                </c:pt>
                <c:pt idx="59">
                  <c:v>108</c:v>
                </c:pt>
                <c:pt idx="60">
                  <c:v>109</c:v>
                </c:pt>
                <c:pt idx="61">
                  <c:v>110</c:v>
                </c:pt>
                <c:pt idx="62">
                  <c:v>111</c:v>
                </c:pt>
                <c:pt idx="63">
                  <c:v>112</c:v>
                </c:pt>
                <c:pt idx="64">
                  <c:v>113</c:v>
                </c:pt>
                <c:pt idx="65">
                  <c:v>114</c:v>
                </c:pt>
                <c:pt idx="66">
                  <c:v>115</c:v>
                </c:pt>
                <c:pt idx="67">
                  <c:v>116</c:v>
                </c:pt>
                <c:pt idx="68">
                  <c:v>117</c:v>
                </c:pt>
                <c:pt idx="69">
                  <c:v>118</c:v>
                </c:pt>
                <c:pt idx="70">
                  <c:v>119</c:v>
                </c:pt>
                <c:pt idx="71">
                  <c:v>120</c:v>
                </c:pt>
                <c:pt idx="72">
                  <c:v>121</c:v>
                </c:pt>
                <c:pt idx="73">
                  <c:v>122</c:v>
                </c:pt>
                <c:pt idx="74">
                  <c:v>123</c:v>
                </c:pt>
                <c:pt idx="75">
                  <c:v>124</c:v>
                </c:pt>
                <c:pt idx="76">
                  <c:v>125</c:v>
                </c:pt>
                <c:pt idx="77">
                  <c:v>126</c:v>
                </c:pt>
                <c:pt idx="78">
                  <c:v>127</c:v>
                </c:pt>
                <c:pt idx="79">
                  <c:v>128</c:v>
                </c:pt>
                <c:pt idx="80">
                  <c:v>129</c:v>
                </c:pt>
                <c:pt idx="81">
                  <c:v>130</c:v>
                </c:pt>
                <c:pt idx="82">
                  <c:v>131</c:v>
                </c:pt>
                <c:pt idx="83">
                  <c:v>132</c:v>
                </c:pt>
                <c:pt idx="84">
                  <c:v>133</c:v>
                </c:pt>
                <c:pt idx="85">
                  <c:v>134</c:v>
                </c:pt>
                <c:pt idx="86">
                  <c:v>135</c:v>
                </c:pt>
                <c:pt idx="87">
                  <c:v>136</c:v>
                </c:pt>
                <c:pt idx="88">
                  <c:v>137</c:v>
                </c:pt>
                <c:pt idx="89">
                  <c:v>138</c:v>
                </c:pt>
                <c:pt idx="90">
                  <c:v>139</c:v>
                </c:pt>
                <c:pt idx="91">
                  <c:v>140</c:v>
                </c:pt>
                <c:pt idx="92">
                  <c:v>141</c:v>
                </c:pt>
                <c:pt idx="93">
                  <c:v>142</c:v>
                </c:pt>
                <c:pt idx="94">
                  <c:v>143</c:v>
                </c:pt>
                <c:pt idx="95">
                  <c:v>144</c:v>
                </c:pt>
                <c:pt idx="96">
                  <c:v>145</c:v>
                </c:pt>
                <c:pt idx="97">
                  <c:v>146</c:v>
                </c:pt>
                <c:pt idx="98">
                  <c:v>147</c:v>
                </c:pt>
                <c:pt idx="99">
                  <c:v>148</c:v>
                </c:pt>
                <c:pt idx="100">
                  <c:v>149</c:v>
                </c:pt>
                <c:pt idx="101">
                  <c:v>150</c:v>
                </c:pt>
                <c:pt idx="102">
                  <c:v>151</c:v>
                </c:pt>
                <c:pt idx="103">
                  <c:v>152</c:v>
                </c:pt>
                <c:pt idx="104">
                  <c:v>153</c:v>
                </c:pt>
                <c:pt idx="105">
                  <c:v>154</c:v>
                </c:pt>
                <c:pt idx="106">
                  <c:v>155</c:v>
                </c:pt>
                <c:pt idx="107">
                  <c:v>156</c:v>
                </c:pt>
                <c:pt idx="108">
                  <c:v>157</c:v>
                </c:pt>
                <c:pt idx="109">
                  <c:v>158</c:v>
                </c:pt>
                <c:pt idx="110">
                  <c:v>159</c:v>
                </c:pt>
                <c:pt idx="111">
                  <c:v>160</c:v>
                </c:pt>
                <c:pt idx="112">
                  <c:v>161</c:v>
                </c:pt>
                <c:pt idx="113">
                  <c:v>162</c:v>
                </c:pt>
                <c:pt idx="114">
                  <c:v>163</c:v>
                </c:pt>
                <c:pt idx="115">
                  <c:v>164</c:v>
                </c:pt>
                <c:pt idx="116">
                  <c:v>165</c:v>
                </c:pt>
                <c:pt idx="117">
                  <c:v>166</c:v>
                </c:pt>
              </c:numCache>
            </c:numRef>
          </c:cat>
          <c:val>
            <c:numRef>
              <c:f>'Modern Family Multiple Regressi'!$AL$15:$AL$132</c:f>
              <c:numCache>
                <c:formatCode>0.000</c:formatCode>
                <c:ptCount val="118"/>
                <c:pt idx="0">
                  <c:v>13.575640657851221</c:v>
                </c:pt>
                <c:pt idx="1">
                  <c:v>13.447293794889198</c:v>
                </c:pt>
                <c:pt idx="2">
                  <c:v>13.318946931927176</c:v>
                </c:pt>
                <c:pt idx="3">
                  <c:v>13.190600068965153</c:v>
                </c:pt>
                <c:pt idx="4">
                  <c:v>13.062253206003131</c:v>
                </c:pt>
                <c:pt idx="5">
                  <c:v>12.933906343041109</c:v>
                </c:pt>
                <c:pt idx="6">
                  <c:v>12.805559480079086</c:v>
                </c:pt>
                <c:pt idx="7">
                  <c:v>12.677212617117064</c:v>
                </c:pt>
                <c:pt idx="8">
                  <c:v>12.548865754155042</c:v>
                </c:pt>
                <c:pt idx="9">
                  <c:v>12.420518891193018</c:v>
                </c:pt>
                <c:pt idx="10">
                  <c:v>12.292172028230995</c:v>
                </c:pt>
                <c:pt idx="11">
                  <c:v>12.163825165268973</c:v>
                </c:pt>
                <c:pt idx="12">
                  <c:v>12.03547830230695</c:v>
                </c:pt>
                <c:pt idx="13">
                  <c:v>11.907131439344928</c:v>
                </c:pt>
                <c:pt idx="14">
                  <c:v>11.778784576382906</c:v>
                </c:pt>
                <c:pt idx="15">
                  <c:v>11.650437713420883</c:v>
                </c:pt>
                <c:pt idx="16">
                  <c:v>11.522090850458861</c:v>
                </c:pt>
                <c:pt idx="17">
                  <c:v>11.393743987496839</c:v>
                </c:pt>
                <c:pt idx="18">
                  <c:v>11.265397124534816</c:v>
                </c:pt>
                <c:pt idx="19">
                  <c:v>11.137050261572794</c:v>
                </c:pt>
                <c:pt idx="20">
                  <c:v>11.008703398610772</c:v>
                </c:pt>
                <c:pt idx="21">
                  <c:v>10.880356535648747</c:v>
                </c:pt>
                <c:pt idx="22">
                  <c:v>10.752009672686725</c:v>
                </c:pt>
                <c:pt idx="23">
                  <c:v>10.623662809724703</c:v>
                </c:pt>
                <c:pt idx="24">
                  <c:v>12.556405590729913</c:v>
                </c:pt>
                <c:pt idx="25">
                  <c:v>12.42805872776789</c:v>
                </c:pt>
                <c:pt idx="26">
                  <c:v>12.299711864805868</c:v>
                </c:pt>
                <c:pt idx="27">
                  <c:v>12.171365001843846</c:v>
                </c:pt>
                <c:pt idx="28">
                  <c:v>12.043018138881823</c:v>
                </c:pt>
                <c:pt idx="29">
                  <c:v>11.914671275919801</c:v>
                </c:pt>
                <c:pt idx="30">
                  <c:v>11.786324412957779</c:v>
                </c:pt>
                <c:pt idx="31">
                  <c:v>11.657977549995756</c:v>
                </c:pt>
                <c:pt idx="32">
                  <c:v>11.529630687033734</c:v>
                </c:pt>
                <c:pt idx="33">
                  <c:v>11.40128382407171</c:v>
                </c:pt>
                <c:pt idx="34">
                  <c:v>11.272936961109687</c:v>
                </c:pt>
                <c:pt idx="35">
                  <c:v>11.144590098147665</c:v>
                </c:pt>
                <c:pt idx="36">
                  <c:v>11.016243235185643</c:v>
                </c:pt>
                <c:pt idx="37">
                  <c:v>10.88789637222362</c:v>
                </c:pt>
                <c:pt idx="38">
                  <c:v>10.759549509261598</c:v>
                </c:pt>
                <c:pt idx="39">
                  <c:v>10.631202646299576</c:v>
                </c:pt>
                <c:pt idx="40">
                  <c:v>10.502855783337553</c:v>
                </c:pt>
                <c:pt idx="41">
                  <c:v>10.374508920375531</c:v>
                </c:pt>
                <c:pt idx="42">
                  <c:v>10.246162057413509</c:v>
                </c:pt>
                <c:pt idx="43">
                  <c:v>10.117815194451486</c:v>
                </c:pt>
                <c:pt idx="44">
                  <c:v>9.9894683314894639</c:v>
                </c:pt>
                <c:pt idx="45">
                  <c:v>9.8611214685274398</c:v>
                </c:pt>
                <c:pt idx="46">
                  <c:v>9.7327746055654174</c:v>
                </c:pt>
                <c:pt idx="47">
                  <c:v>9.604427742603395</c:v>
                </c:pt>
                <c:pt idx="48">
                  <c:v>11.537170523608602</c:v>
                </c:pt>
                <c:pt idx="49">
                  <c:v>11.408823660646579</c:v>
                </c:pt>
                <c:pt idx="50">
                  <c:v>11.280476797684557</c:v>
                </c:pt>
                <c:pt idx="51">
                  <c:v>11.152129934722534</c:v>
                </c:pt>
                <c:pt idx="52">
                  <c:v>11.023783071760512</c:v>
                </c:pt>
                <c:pt idx="53">
                  <c:v>10.89543620879849</c:v>
                </c:pt>
                <c:pt idx="54">
                  <c:v>10.767089345836467</c:v>
                </c:pt>
                <c:pt idx="55">
                  <c:v>10.638742482874445</c:v>
                </c:pt>
                <c:pt idx="56">
                  <c:v>10.510395619912423</c:v>
                </c:pt>
                <c:pt idx="57">
                  <c:v>10.382048756950399</c:v>
                </c:pt>
                <c:pt idx="58">
                  <c:v>10.253701893988376</c:v>
                </c:pt>
                <c:pt idx="59">
                  <c:v>10.125355031026354</c:v>
                </c:pt>
                <c:pt idx="60">
                  <c:v>9.9970081680643315</c:v>
                </c:pt>
                <c:pt idx="61">
                  <c:v>9.8686613051023091</c:v>
                </c:pt>
                <c:pt idx="62">
                  <c:v>9.7403144421402867</c:v>
                </c:pt>
                <c:pt idx="63">
                  <c:v>9.6119675791782644</c:v>
                </c:pt>
                <c:pt idx="64">
                  <c:v>9.483620716216242</c:v>
                </c:pt>
                <c:pt idx="65">
                  <c:v>9.3552738532542197</c:v>
                </c:pt>
                <c:pt idx="66">
                  <c:v>9.2269269902921973</c:v>
                </c:pt>
                <c:pt idx="67">
                  <c:v>9.098580127330175</c:v>
                </c:pt>
                <c:pt idx="68">
                  <c:v>8.9702332643681526</c:v>
                </c:pt>
                <c:pt idx="69">
                  <c:v>8.8418864014061285</c:v>
                </c:pt>
                <c:pt idx="70">
                  <c:v>8.7135395384441061</c:v>
                </c:pt>
                <c:pt idx="71">
                  <c:v>8.5851926754820838</c:v>
                </c:pt>
                <c:pt idx="72">
                  <c:v>10.517935456487292</c:v>
                </c:pt>
                <c:pt idx="73">
                  <c:v>10.38958859352527</c:v>
                </c:pt>
                <c:pt idx="74">
                  <c:v>10.261241730563247</c:v>
                </c:pt>
                <c:pt idx="75">
                  <c:v>10.132894867601225</c:v>
                </c:pt>
                <c:pt idx="76">
                  <c:v>10.004548004639203</c:v>
                </c:pt>
                <c:pt idx="77">
                  <c:v>9.8762011416771802</c:v>
                </c:pt>
                <c:pt idx="78">
                  <c:v>9.7478542787151579</c:v>
                </c:pt>
                <c:pt idx="79">
                  <c:v>9.6195074157531337</c:v>
                </c:pt>
                <c:pt idx="80">
                  <c:v>9.4911605527911114</c:v>
                </c:pt>
                <c:pt idx="81">
                  <c:v>9.362813689829089</c:v>
                </c:pt>
                <c:pt idx="82">
                  <c:v>9.2344668268670667</c:v>
                </c:pt>
                <c:pt idx="83">
                  <c:v>9.1061199639050443</c:v>
                </c:pt>
                <c:pt idx="84">
                  <c:v>8.9777731009430219</c:v>
                </c:pt>
                <c:pt idx="85">
                  <c:v>8.8494262379809996</c:v>
                </c:pt>
                <c:pt idx="86">
                  <c:v>8.7210793750189772</c:v>
                </c:pt>
                <c:pt idx="87">
                  <c:v>8.5927325120569549</c:v>
                </c:pt>
                <c:pt idx="88">
                  <c:v>8.4643856490949325</c:v>
                </c:pt>
                <c:pt idx="89">
                  <c:v>8.3360387861329102</c:v>
                </c:pt>
                <c:pt idx="90">
                  <c:v>8.2076919231708878</c:v>
                </c:pt>
                <c:pt idx="91">
                  <c:v>8.0793450602088654</c:v>
                </c:pt>
                <c:pt idx="92">
                  <c:v>7.9509981972468431</c:v>
                </c:pt>
                <c:pt idx="93">
                  <c:v>7.8226513342848198</c:v>
                </c:pt>
                <c:pt idx="94">
                  <c:v>7.6943044713227975</c:v>
                </c:pt>
                <c:pt idx="95">
                  <c:v>7.5659576083607751</c:v>
                </c:pt>
                <c:pt idx="96">
                  <c:v>9.4987003893659825</c:v>
                </c:pt>
                <c:pt idx="97">
                  <c:v>9.3703535264039601</c:v>
                </c:pt>
                <c:pt idx="98">
                  <c:v>9.2420066634419378</c:v>
                </c:pt>
                <c:pt idx="99">
                  <c:v>9.1136598004799154</c:v>
                </c:pt>
                <c:pt idx="100">
                  <c:v>8.9853129375178931</c:v>
                </c:pt>
                <c:pt idx="101">
                  <c:v>8.8569660745558707</c:v>
                </c:pt>
                <c:pt idx="102">
                  <c:v>8.7286192115938483</c:v>
                </c:pt>
                <c:pt idx="103">
                  <c:v>8.600272348631826</c:v>
                </c:pt>
                <c:pt idx="104">
                  <c:v>8.4719254856698036</c:v>
                </c:pt>
                <c:pt idx="105">
                  <c:v>8.3435786227077795</c:v>
                </c:pt>
                <c:pt idx="106">
                  <c:v>8.2152317597457571</c:v>
                </c:pt>
                <c:pt idx="107">
                  <c:v>8.0868848967837348</c:v>
                </c:pt>
                <c:pt idx="108">
                  <c:v>7.9585380338217124</c:v>
                </c:pt>
                <c:pt idx="109">
                  <c:v>7.8301911708596901</c:v>
                </c:pt>
                <c:pt idx="110">
                  <c:v>7.7018443078976677</c:v>
                </c:pt>
                <c:pt idx="111">
                  <c:v>7.5734974449356454</c:v>
                </c:pt>
                <c:pt idx="112">
                  <c:v>7.445150581973623</c:v>
                </c:pt>
                <c:pt idx="113">
                  <c:v>7.3168037190116006</c:v>
                </c:pt>
                <c:pt idx="114">
                  <c:v>7.1884568560495783</c:v>
                </c:pt>
                <c:pt idx="115">
                  <c:v>7.0601099930875559</c:v>
                </c:pt>
                <c:pt idx="116">
                  <c:v>6.9317631301255336</c:v>
                </c:pt>
                <c:pt idx="117">
                  <c:v>6.8034162671635103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738112"/>
        <c:axId val="157740032"/>
      </c:lineChart>
      <c:catAx>
        <c:axId val="157738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Episode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740032"/>
        <c:crosses val="autoZero"/>
        <c:auto val="1"/>
        <c:lblAlgn val="ctr"/>
        <c:lblOffset val="100"/>
        <c:noMultiLvlLbl val="0"/>
      </c:catAx>
      <c:valAx>
        <c:axId val="1577400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# Of Viewers (Millions)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73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58443245040333"/>
          <c:y val="0.71394221822976822"/>
          <c:w val="0.32071221853710408"/>
          <c:h val="0.128117925354513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Multiple</a:t>
            </a:r>
            <a:r>
              <a:rPr lang="en-US" baseline="0">
                <a:solidFill>
                  <a:sysClr val="windowText" lastClr="000000"/>
                </a:solidFill>
              </a:rPr>
              <a:t> Regression Of Modern Family Data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843095951751402"/>
          <c:y val="0.17186796491148695"/>
          <c:w val="0.83777633768478066"/>
          <c:h val="0.67107729849682163"/>
        </c:manualLayout>
      </c:layout>
      <c:lineChart>
        <c:grouping val="standard"/>
        <c:varyColors val="0"/>
        <c:ser>
          <c:idx val="0"/>
          <c:order val="0"/>
          <c:tx>
            <c:v>Modern Family Viewers</c:v>
          </c:tx>
          <c:spPr>
            <a:ln w="349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'Modern Family Multiple Regressi'!$AG$15:$AG$132</c:f>
              <c:numCache>
                <c:formatCode>General</c:formatCode>
                <c:ptCount val="11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60</c:v>
                </c:pt>
                <c:pt idx="12">
                  <c:v>61</c:v>
                </c:pt>
                <c:pt idx="13">
                  <c:v>62</c:v>
                </c:pt>
                <c:pt idx="14">
                  <c:v>63</c:v>
                </c:pt>
                <c:pt idx="15">
                  <c:v>64</c:v>
                </c:pt>
                <c:pt idx="16">
                  <c:v>65</c:v>
                </c:pt>
                <c:pt idx="17">
                  <c:v>66</c:v>
                </c:pt>
                <c:pt idx="18">
                  <c:v>67</c:v>
                </c:pt>
                <c:pt idx="19">
                  <c:v>68</c:v>
                </c:pt>
                <c:pt idx="20">
                  <c:v>69</c:v>
                </c:pt>
                <c:pt idx="21">
                  <c:v>70</c:v>
                </c:pt>
                <c:pt idx="22">
                  <c:v>71</c:v>
                </c:pt>
                <c:pt idx="23">
                  <c:v>72</c:v>
                </c:pt>
                <c:pt idx="24">
                  <c:v>73</c:v>
                </c:pt>
                <c:pt idx="25">
                  <c:v>74</c:v>
                </c:pt>
                <c:pt idx="26">
                  <c:v>75</c:v>
                </c:pt>
                <c:pt idx="27">
                  <c:v>76</c:v>
                </c:pt>
                <c:pt idx="28">
                  <c:v>77</c:v>
                </c:pt>
                <c:pt idx="29">
                  <c:v>78</c:v>
                </c:pt>
                <c:pt idx="30">
                  <c:v>79</c:v>
                </c:pt>
                <c:pt idx="31">
                  <c:v>80</c:v>
                </c:pt>
                <c:pt idx="32">
                  <c:v>81</c:v>
                </c:pt>
                <c:pt idx="33">
                  <c:v>82</c:v>
                </c:pt>
                <c:pt idx="34">
                  <c:v>83</c:v>
                </c:pt>
                <c:pt idx="35">
                  <c:v>84</c:v>
                </c:pt>
                <c:pt idx="36">
                  <c:v>85</c:v>
                </c:pt>
                <c:pt idx="37">
                  <c:v>86</c:v>
                </c:pt>
                <c:pt idx="38">
                  <c:v>87</c:v>
                </c:pt>
                <c:pt idx="39">
                  <c:v>88</c:v>
                </c:pt>
                <c:pt idx="40">
                  <c:v>89</c:v>
                </c:pt>
                <c:pt idx="41">
                  <c:v>90</c:v>
                </c:pt>
                <c:pt idx="42">
                  <c:v>91</c:v>
                </c:pt>
                <c:pt idx="43">
                  <c:v>92</c:v>
                </c:pt>
                <c:pt idx="44">
                  <c:v>93</c:v>
                </c:pt>
                <c:pt idx="45">
                  <c:v>94</c:v>
                </c:pt>
                <c:pt idx="46">
                  <c:v>95</c:v>
                </c:pt>
                <c:pt idx="47">
                  <c:v>96</c:v>
                </c:pt>
                <c:pt idx="48">
                  <c:v>97</c:v>
                </c:pt>
                <c:pt idx="49">
                  <c:v>98</c:v>
                </c:pt>
                <c:pt idx="50">
                  <c:v>99</c:v>
                </c:pt>
                <c:pt idx="51">
                  <c:v>100</c:v>
                </c:pt>
                <c:pt idx="52">
                  <c:v>101</c:v>
                </c:pt>
                <c:pt idx="53">
                  <c:v>102</c:v>
                </c:pt>
                <c:pt idx="54">
                  <c:v>103</c:v>
                </c:pt>
                <c:pt idx="55">
                  <c:v>104</c:v>
                </c:pt>
                <c:pt idx="56">
                  <c:v>105</c:v>
                </c:pt>
                <c:pt idx="57">
                  <c:v>106</c:v>
                </c:pt>
                <c:pt idx="58">
                  <c:v>107</c:v>
                </c:pt>
                <c:pt idx="59">
                  <c:v>108</c:v>
                </c:pt>
                <c:pt idx="60">
                  <c:v>109</c:v>
                </c:pt>
                <c:pt idx="61">
                  <c:v>110</c:v>
                </c:pt>
                <c:pt idx="62">
                  <c:v>111</c:v>
                </c:pt>
                <c:pt idx="63">
                  <c:v>112</c:v>
                </c:pt>
                <c:pt idx="64">
                  <c:v>113</c:v>
                </c:pt>
                <c:pt idx="65">
                  <c:v>114</c:v>
                </c:pt>
                <c:pt idx="66">
                  <c:v>115</c:v>
                </c:pt>
                <c:pt idx="67">
                  <c:v>116</c:v>
                </c:pt>
                <c:pt idx="68">
                  <c:v>117</c:v>
                </c:pt>
                <c:pt idx="69">
                  <c:v>118</c:v>
                </c:pt>
                <c:pt idx="70">
                  <c:v>119</c:v>
                </c:pt>
                <c:pt idx="71">
                  <c:v>120</c:v>
                </c:pt>
                <c:pt idx="72">
                  <c:v>121</c:v>
                </c:pt>
                <c:pt idx="73">
                  <c:v>122</c:v>
                </c:pt>
                <c:pt idx="74">
                  <c:v>123</c:v>
                </c:pt>
                <c:pt idx="75">
                  <c:v>124</c:v>
                </c:pt>
                <c:pt idx="76">
                  <c:v>125</c:v>
                </c:pt>
                <c:pt idx="77">
                  <c:v>126</c:v>
                </c:pt>
                <c:pt idx="78">
                  <c:v>127</c:v>
                </c:pt>
                <c:pt idx="79">
                  <c:v>128</c:v>
                </c:pt>
                <c:pt idx="80">
                  <c:v>129</c:v>
                </c:pt>
                <c:pt idx="81">
                  <c:v>130</c:v>
                </c:pt>
                <c:pt idx="82">
                  <c:v>131</c:v>
                </c:pt>
                <c:pt idx="83">
                  <c:v>132</c:v>
                </c:pt>
                <c:pt idx="84">
                  <c:v>133</c:v>
                </c:pt>
                <c:pt idx="85">
                  <c:v>134</c:v>
                </c:pt>
                <c:pt idx="86">
                  <c:v>135</c:v>
                </c:pt>
                <c:pt idx="87">
                  <c:v>136</c:v>
                </c:pt>
                <c:pt idx="88">
                  <c:v>137</c:v>
                </c:pt>
                <c:pt idx="89">
                  <c:v>138</c:v>
                </c:pt>
                <c:pt idx="90">
                  <c:v>139</c:v>
                </c:pt>
                <c:pt idx="91">
                  <c:v>140</c:v>
                </c:pt>
                <c:pt idx="92">
                  <c:v>141</c:v>
                </c:pt>
                <c:pt idx="93">
                  <c:v>142</c:v>
                </c:pt>
                <c:pt idx="94">
                  <c:v>143</c:v>
                </c:pt>
                <c:pt idx="95">
                  <c:v>144</c:v>
                </c:pt>
                <c:pt idx="96">
                  <c:v>145</c:v>
                </c:pt>
                <c:pt idx="97">
                  <c:v>146</c:v>
                </c:pt>
                <c:pt idx="98">
                  <c:v>147</c:v>
                </c:pt>
                <c:pt idx="99">
                  <c:v>148</c:v>
                </c:pt>
                <c:pt idx="100">
                  <c:v>149</c:v>
                </c:pt>
                <c:pt idx="101">
                  <c:v>150</c:v>
                </c:pt>
                <c:pt idx="102">
                  <c:v>151</c:v>
                </c:pt>
                <c:pt idx="103">
                  <c:v>152</c:v>
                </c:pt>
                <c:pt idx="104">
                  <c:v>153</c:v>
                </c:pt>
                <c:pt idx="105">
                  <c:v>154</c:v>
                </c:pt>
                <c:pt idx="106">
                  <c:v>155</c:v>
                </c:pt>
                <c:pt idx="107">
                  <c:v>156</c:v>
                </c:pt>
                <c:pt idx="108">
                  <c:v>157</c:v>
                </c:pt>
                <c:pt idx="109">
                  <c:v>158</c:v>
                </c:pt>
                <c:pt idx="110">
                  <c:v>159</c:v>
                </c:pt>
                <c:pt idx="111">
                  <c:v>160</c:v>
                </c:pt>
                <c:pt idx="112">
                  <c:v>161</c:v>
                </c:pt>
                <c:pt idx="113">
                  <c:v>162</c:v>
                </c:pt>
                <c:pt idx="114">
                  <c:v>163</c:v>
                </c:pt>
                <c:pt idx="115">
                  <c:v>164</c:v>
                </c:pt>
                <c:pt idx="116">
                  <c:v>165</c:v>
                </c:pt>
                <c:pt idx="117">
                  <c:v>166</c:v>
                </c:pt>
              </c:numCache>
            </c:numRef>
          </c:cat>
          <c:val>
            <c:numRef>
              <c:f>'Modern Family Multiple Regressi'!$AJ$15:$AJ$143</c:f>
              <c:numCache>
                <c:formatCode>0.00</c:formatCode>
                <c:ptCount val="129"/>
                <c:pt idx="0">
                  <c:v>14.52</c:v>
                </c:pt>
                <c:pt idx="1">
                  <c:v>14.54</c:v>
                </c:pt>
                <c:pt idx="2">
                  <c:v>13.45</c:v>
                </c:pt>
                <c:pt idx="3">
                  <c:v>13.24</c:v>
                </c:pt>
                <c:pt idx="4">
                  <c:v>13.65</c:v>
                </c:pt>
                <c:pt idx="5">
                  <c:v>13.04</c:v>
                </c:pt>
                <c:pt idx="6">
                  <c:v>13.37</c:v>
                </c:pt>
                <c:pt idx="7">
                  <c:v>12.91</c:v>
                </c:pt>
                <c:pt idx="8">
                  <c:v>12.72</c:v>
                </c:pt>
                <c:pt idx="9">
                  <c:v>12.2</c:v>
                </c:pt>
                <c:pt idx="10">
                  <c:v>14.03</c:v>
                </c:pt>
                <c:pt idx="11">
                  <c:v>12.12</c:v>
                </c:pt>
                <c:pt idx="12">
                  <c:v>11.89</c:v>
                </c:pt>
                <c:pt idx="13">
                  <c:v>12.9</c:v>
                </c:pt>
                <c:pt idx="14">
                  <c:v>11.23</c:v>
                </c:pt>
                <c:pt idx="15">
                  <c:v>11.54</c:v>
                </c:pt>
                <c:pt idx="16">
                  <c:v>11.63</c:v>
                </c:pt>
                <c:pt idx="17">
                  <c:v>10.6</c:v>
                </c:pt>
                <c:pt idx="18">
                  <c:v>10.35</c:v>
                </c:pt>
                <c:pt idx="19">
                  <c:v>10.210000000000001</c:v>
                </c:pt>
                <c:pt idx="20">
                  <c:v>10.06</c:v>
                </c:pt>
                <c:pt idx="21">
                  <c:v>10.58</c:v>
                </c:pt>
                <c:pt idx="22">
                  <c:v>9.36</c:v>
                </c:pt>
                <c:pt idx="23">
                  <c:v>10.07</c:v>
                </c:pt>
                <c:pt idx="24">
                  <c:v>14.44</c:v>
                </c:pt>
                <c:pt idx="25">
                  <c:v>12.08</c:v>
                </c:pt>
                <c:pt idx="26">
                  <c:v>12.31</c:v>
                </c:pt>
                <c:pt idx="27">
                  <c:v>12.28</c:v>
                </c:pt>
                <c:pt idx="28">
                  <c:v>12.52</c:v>
                </c:pt>
                <c:pt idx="29">
                  <c:v>10.62</c:v>
                </c:pt>
                <c:pt idx="30">
                  <c:v>12.43</c:v>
                </c:pt>
                <c:pt idx="31">
                  <c:v>11.89</c:v>
                </c:pt>
                <c:pt idx="32">
                  <c:v>12.01</c:v>
                </c:pt>
                <c:pt idx="33">
                  <c:v>10.94</c:v>
                </c:pt>
                <c:pt idx="34">
                  <c:v>12.04</c:v>
                </c:pt>
                <c:pt idx="35">
                  <c:v>11.01</c:v>
                </c:pt>
                <c:pt idx="36">
                  <c:v>10.83</c:v>
                </c:pt>
                <c:pt idx="37">
                  <c:v>9.83</c:v>
                </c:pt>
                <c:pt idx="38">
                  <c:v>10.050000000000001</c:v>
                </c:pt>
                <c:pt idx="39">
                  <c:v>10.62</c:v>
                </c:pt>
                <c:pt idx="40">
                  <c:v>10.53</c:v>
                </c:pt>
                <c:pt idx="41">
                  <c:v>9.09</c:v>
                </c:pt>
                <c:pt idx="42">
                  <c:v>10.88</c:v>
                </c:pt>
                <c:pt idx="43">
                  <c:v>10.38</c:v>
                </c:pt>
                <c:pt idx="44">
                  <c:v>9.64</c:v>
                </c:pt>
                <c:pt idx="45">
                  <c:v>9.02</c:v>
                </c:pt>
                <c:pt idx="46">
                  <c:v>10.029999999999999</c:v>
                </c:pt>
                <c:pt idx="47">
                  <c:v>10.01</c:v>
                </c:pt>
                <c:pt idx="48">
                  <c:v>11.71</c:v>
                </c:pt>
                <c:pt idx="49">
                  <c:v>11.65</c:v>
                </c:pt>
                <c:pt idx="50">
                  <c:v>11.12</c:v>
                </c:pt>
                <c:pt idx="51">
                  <c:v>10.64</c:v>
                </c:pt>
                <c:pt idx="52">
                  <c:v>10.94</c:v>
                </c:pt>
                <c:pt idx="53">
                  <c:v>10.32</c:v>
                </c:pt>
                <c:pt idx="54">
                  <c:v>10.75</c:v>
                </c:pt>
                <c:pt idx="55">
                  <c:v>10.19</c:v>
                </c:pt>
                <c:pt idx="56">
                  <c:v>9.4700000000000006</c:v>
                </c:pt>
                <c:pt idx="57">
                  <c:v>10.61</c:v>
                </c:pt>
                <c:pt idx="58">
                  <c:v>9.51</c:v>
                </c:pt>
                <c:pt idx="59">
                  <c:v>9.14</c:v>
                </c:pt>
                <c:pt idx="60">
                  <c:v>9.59</c:v>
                </c:pt>
                <c:pt idx="61">
                  <c:v>9.8699999999999992</c:v>
                </c:pt>
                <c:pt idx="62">
                  <c:v>8.52</c:v>
                </c:pt>
                <c:pt idx="63">
                  <c:v>9.2200000000000006</c:v>
                </c:pt>
                <c:pt idx="64">
                  <c:v>9.39</c:v>
                </c:pt>
                <c:pt idx="65">
                  <c:v>10.09</c:v>
                </c:pt>
                <c:pt idx="66">
                  <c:v>9</c:v>
                </c:pt>
                <c:pt idx="67">
                  <c:v>9.59</c:v>
                </c:pt>
                <c:pt idx="68">
                  <c:v>8.39</c:v>
                </c:pt>
                <c:pt idx="69">
                  <c:v>8.5500000000000007</c:v>
                </c:pt>
                <c:pt idx="70">
                  <c:v>9.08</c:v>
                </c:pt>
                <c:pt idx="71">
                  <c:v>10.45</c:v>
                </c:pt>
                <c:pt idx="72">
                  <c:v>11.38</c:v>
                </c:pt>
                <c:pt idx="73">
                  <c:v>10.56</c:v>
                </c:pt>
                <c:pt idx="74">
                  <c:v>10.3</c:v>
                </c:pt>
                <c:pt idx="75">
                  <c:v>9.7100000000000009</c:v>
                </c:pt>
                <c:pt idx="76">
                  <c:v>10.16</c:v>
                </c:pt>
                <c:pt idx="77">
                  <c:v>9.92</c:v>
                </c:pt>
                <c:pt idx="78">
                  <c:v>9.83</c:v>
                </c:pt>
                <c:pt idx="79">
                  <c:v>10.88</c:v>
                </c:pt>
                <c:pt idx="80">
                  <c:v>9.02</c:v>
                </c:pt>
                <c:pt idx="81">
                  <c:v>9.69</c:v>
                </c:pt>
                <c:pt idx="82">
                  <c:v>9.2899999999999991</c:v>
                </c:pt>
                <c:pt idx="83">
                  <c:v>9.44</c:v>
                </c:pt>
                <c:pt idx="84">
                  <c:v>9.8699999999999992</c:v>
                </c:pt>
                <c:pt idx="85">
                  <c:v>9.77</c:v>
                </c:pt>
                <c:pt idx="86">
                  <c:v>8.8000000000000007</c:v>
                </c:pt>
                <c:pt idx="87">
                  <c:v>9.32</c:v>
                </c:pt>
                <c:pt idx="88">
                  <c:v>9.61</c:v>
                </c:pt>
                <c:pt idx="89">
                  <c:v>8.7100000000000009</c:v>
                </c:pt>
                <c:pt idx="90">
                  <c:v>9.43</c:v>
                </c:pt>
                <c:pt idx="91">
                  <c:v>8.85</c:v>
                </c:pt>
                <c:pt idx="92">
                  <c:v>8</c:v>
                </c:pt>
                <c:pt idx="93">
                  <c:v>8.57</c:v>
                </c:pt>
                <c:pt idx="94">
                  <c:v>8.1300000000000008</c:v>
                </c:pt>
                <c:pt idx="95">
                  <c:v>7.2</c:v>
                </c:pt>
                <c:pt idx="96">
                  <c:v>9.4600000000000009</c:v>
                </c:pt>
                <c:pt idx="97">
                  <c:v>8.7200000000000006</c:v>
                </c:pt>
                <c:pt idx="98">
                  <c:v>7.99</c:v>
                </c:pt>
                <c:pt idx="99">
                  <c:v>7.88</c:v>
                </c:pt>
                <c:pt idx="100">
                  <c:v>7.8</c:v>
                </c:pt>
                <c:pt idx="101">
                  <c:v>8.15</c:v>
                </c:pt>
                <c:pt idx="102">
                  <c:v>8.3800000000000008</c:v>
                </c:pt>
                <c:pt idx="103">
                  <c:v>7.35</c:v>
                </c:pt>
                <c:pt idx="104">
                  <c:v>8.1999999999999993</c:v>
                </c:pt>
                <c:pt idx="105">
                  <c:v>8.35</c:v>
                </c:pt>
                <c:pt idx="106">
                  <c:v>8.17</c:v>
                </c:pt>
                <c:pt idx="107">
                  <c:v>7.8</c:v>
                </c:pt>
                <c:pt idx="108">
                  <c:v>7.48</c:v>
                </c:pt>
                <c:pt idx="109">
                  <c:v>8.1</c:v>
                </c:pt>
                <c:pt idx="110">
                  <c:v>8.2200000000000006</c:v>
                </c:pt>
                <c:pt idx="111">
                  <c:v>8.14</c:v>
                </c:pt>
                <c:pt idx="112">
                  <c:v>7.69</c:v>
                </c:pt>
                <c:pt idx="113">
                  <c:v>7.51</c:v>
                </c:pt>
                <c:pt idx="114">
                  <c:v>7.44</c:v>
                </c:pt>
                <c:pt idx="115">
                  <c:v>7.42</c:v>
                </c:pt>
                <c:pt idx="116">
                  <c:v>7.16</c:v>
                </c:pt>
                <c:pt idx="117">
                  <c:v>6.79</c:v>
                </c:pt>
                <c:pt idx="118">
                  <c:v>8.24</c:v>
                </c:pt>
                <c:pt idx="119">
                  <c:v>7.41</c:v>
                </c:pt>
                <c:pt idx="120">
                  <c:v>6.97</c:v>
                </c:pt>
                <c:pt idx="121">
                  <c:v>7.5</c:v>
                </c:pt>
                <c:pt idx="122">
                  <c:v>7.38</c:v>
                </c:pt>
                <c:pt idx="123">
                  <c:v>7.23</c:v>
                </c:pt>
                <c:pt idx="124">
                  <c:v>7.33</c:v>
                </c:pt>
                <c:pt idx="125">
                  <c:v>6.81</c:v>
                </c:pt>
                <c:pt idx="126">
                  <c:v>6.81</c:v>
                </c:pt>
                <c:pt idx="127">
                  <c:v>7.57</c:v>
                </c:pt>
                <c:pt idx="128">
                  <c:v>7.59</c:v>
                </c:pt>
              </c:numCache>
            </c:numRef>
          </c:val>
          <c:smooth val="0"/>
        </c:ser>
        <c:ser>
          <c:idx val="2"/>
          <c:order val="1"/>
          <c:tx>
            <c:v>Regression Prediction</c:v>
          </c:tx>
          <c:spPr>
            <a:ln w="571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'Modern Family Multiple Regressi'!$AG$15:$AG$132</c:f>
              <c:numCache>
                <c:formatCode>General</c:formatCode>
                <c:ptCount val="11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60</c:v>
                </c:pt>
                <c:pt idx="12">
                  <c:v>61</c:v>
                </c:pt>
                <c:pt idx="13">
                  <c:v>62</c:v>
                </c:pt>
                <c:pt idx="14">
                  <c:v>63</c:v>
                </c:pt>
                <c:pt idx="15">
                  <c:v>64</c:v>
                </c:pt>
                <c:pt idx="16">
                  <c:v>65</c:v>
                </c:pt>
                <c:pt idx="17">
                  <c:v>66</c:v>
                </c:pt>
                <c:pt idx="18">
                  <c:v>67</c:v>
                </c:pt>
                <c:pt idx="19">
                  <c:v>68</c:v>
                </c:pt>
                <c:pt idx="20">
                  <c:v>69</c:v>
                </c:pt>
                <c:pt idx="21">
                  <c:v>70</c:v>
                </c:pt>
                <c:pt idx="22">
                  <c:v>71</c:v>
                </c:pt>
                <c:pt idx="23">
                  <c:v>72</c:v>
                </c:pt>
                <c:pt idx="24">
                  <c:v>73</c:v>
                </c:pt>
                <c:pt idx="25">
                  <c:v>74</c:v>
                </c:pt>
                <c:pt idx="26">
                  <c:v>75</c:v>
                </c:pt>
                <c:pt idx="27">
                  <c:v>76</c:v>
                </c:pt>
                <c:pt idx="28">
                  <c:v>77</c:v>
                </c:pt>
                <c:pt idx="29">
                  <c:v>78</c:v>
                </c:pt>
                <c:pt idx="30">
                  <c:v>79</c:v>
                </c:pt>
                <c:pt idx="31">
                  <c:v>80</c:v>
                </c:pt>
                <c:pt idx="32">
                  <c:v>81</c:v>
                </c:pt>
                <c:pt idx="33">
                  <c:v>82</c:v>
                </c:pt>
                <c:pt idx="34">
                  <c:v>83</c:v>
                </c:pt>
                <c:pt idx="35">
                  <c:v>84</c:v>
                </c:pt>
                <c:pt idx="36">
                  <c:v>85</c:v>
                </c:pt>
                <c:pt idx="37">
                  <c:v>86</c:v>
                </c:pt>
                <c:pt idx="38">
                  <c:v>87</c:v>
                </c:pt>
                <c:pt idx="39">
                  <c:v>88</c:v>
                </c:pt>
                <c:pt idx="40">
                  <c:v>89</c:v>
                </c:pt>
                <c:pt idx="41">
                  <c:v>90</c:v>
                </c:pt>
                <c:pt idx="42">
                  <c:v>91</c:v>
                </c:pt>
                <c:pt idx="43">
                  <c:v>92</c:v>
                </c:pt>
                <c:pt idx="44">
                  <c:v>93</c:v>
                </c:pt>
                <c:pt idx="45">
                  <c:v>94</c:v>
                </c:pt>
                <c:pt idx="46">
                  <c:v>95</c:v>
                </c:pt>
                <c:pt idx="47">
                  <c:v>96</c:v>
                </c:pt>
                <c:pt idx="48">
                  <c:v>97</c:v>
                </c:pt>
                <c:pt idx="49">
                  <c:v>98</c:v>
                </c:pt>
                <c:pt idx="50">
                  <c:v>99</c:v>
                </c:pt>
                <c:pt idx="51">
                  <c:v>100</c:v>
                </c:pt>
                <c:pt idx="52">
                  <c:v>101</c:v>
                </c:pt>
                <c:pt idx="53">
                  <c:v>102</c:v>
                </c:pt>
                <c:pt idx="54">
                  <c:v>103</c:v>
                </c:pt>
                <c:pt idx="55">
                  <c:v>104</c:v>
                </c:pt>
                <c:pt idx="56">
                  <c:v>105</c:v>
                </c:pt>
                <c:pt idx="57">
                  <c:v>106</c:v>
                </c:pt>
                <c:pt idx="58">
                  <c:v>107</c:v>
                </c:pt>
                <c:pt idx="59">
                  <c:v>108</c:v>
                </c:pt>
                <c:pt idx="60">
                  <c:v>109</c:v>
                </c:pt>
                <c:pt idx="61">
                  <c:v>110</c:v>
                </c:pt>
                <c:pt idx="62">
                  <c:v>111</c:v>
                </c:pt>
                <c:pt idx="63">
                  <c:v>112</c:v>
                </c:pt>
                <c:pt idx="64">
                  <c:v>113</c:v>
                </c:pt>
                <c:pt idx="65">
                  <c:v>114</c:v>
                </c:pt>
                <c:pt idx="66">
                  <c:v>115</c:v>
                </c:pt>
                <c:pt idx="67">
                  <c:v>116</c:v>
                </c:pt>
                <c:pt idx="68">
                  <c:v>117</c:v>
                </c:pt>
                <c:pt idx="69">
                  <c:v>118</c:v>
                </c:pt>
                <c:pt idx="70">
                  <c:v>119</c:v>
                </c:pt>
                <c:pt idx="71">
                  <c:v>120</c:v>
                </c:pt>
                <c:pt idx="72">
                  <c:v>121</c:v>
                </c:pt>
                <c:pt idx="73">
                  <c:v>122</c:v>
                </c:pt>
                <c:pt idx="74">
                  <c:v>123</c:v>
                </c:pt>
                <c:pt idx="75">
                  <c:v>124</c:v>
                </c:pt>
                <c:pt idx="76">
                  <c:v>125</c:v>
                </c:pt>
                <c:pt idx="77">
                  <c:v>126</c:v>
                </c:pt>
                <c:pt idx="78">
                  <c:v>127</c:v>
                </c:pt>
                <c:pt idx="79">
                  <c:v>128</c:v>
                </c:pt>
                <c:pt idx="80">
                  <c:v>129</c:v>
                </c:pt>
                <c:pt idx="81">
                  <c:v>130</c:v>
                </c:pt>
                <c:pt idx="82">
                  <c:v>131</c:v>
                </c:pt>
                <c:pt idx="83">
                  <c:v>132</c:v>
                </c:pt>
                <c:pt idx="84">
                  <c:v>133</c:v>
                </c:pt>
                <c:pt idx="85">
                  <c:v>134</c:v>
                </c:pt>
                <c:pt idx="86">
                  <c:v>135</c:v>
                </c:pt>
                <c:pt idx="87">
                  <c:v>136</c:v>
                </c:pt>
                <c:pt idx="88">
                  <c:v>137</c:v>
                </c:pt>
                <c:pt idx="89">
                  <c:v>138</c:v>
                </c:pt>
                <c:pt idx="90">
                  <c:v>139</c:v>
                </c:pt>
                <c:pt idx="91">
                  <c:v>140</c:v>
                </c:pt>
                <c:pt idx="92">
                  <c:v>141</c:v>
                </c:pt>
                <c:pt idx="93">
                  <c:v>142</c:v>
                </c:pt>
                <c:pt idx="94">
                  <c:v>143</c:v>
                </c:pt>
                <c:pt idx="95">
                  <c:v>144</c:v>
                </c:pt>
                <c:pt idx="96">
                  <c:v>145</c:v>
                </c:pt>
                <c:pt idx="97">
                  <c:v>146</c:v>
                </c:pt>
                <c:pt idx="98">
                  <c:v>147</c:v>
                </c:pt>
                <c:pt idx="99">
                  <c:v>148</c:v>
                </c:pt>
                <c:pt idx="100">
                  <c:v>149</c:v>
                </c:pt>
                <c:pt idx="101">
                  <c:v>150</c:v>
                </c:pt>
                <c:pt idx="102">
                  <c:v>151</c:v>
                </c:pt>
                <c:pt idx="103">
                  <c:v>152</c:v>
                </c:pt>
                <c:pt idx="104">
                  <c:v>153</c:v>
                </c:pt>
                <c:pt idx="105">
                  <c:v>154</c:v>
                </c:pt>
                <c:pt idx="106">
                  <c:v>155</c:v>
                </c:pt>
                <c:pt idx="107">
                  <c:v>156</c:v>
                </c:pt>
                <c:pt idx="108">
                  <c:v>157</c:v>
                </c:pt>
                <c:pt idx="109">
                  <c:v>158</c:v>
                </c:pt>
                <c:pt idx="110">
                  <c:v>159</c:v>
                </c:pt>
                <c:pt idx="111">
                  <c:v>160</c:v>
                </c:pt>
                <c:pt idx="112">
                  <c:v>161</c:v>
                </c:pt>
                <c:pt idx="113">
                  <c:v>162</c:v>
                </c:pt>
                <c:pt idx="114">
                  <c:v>163</c:v>
                </c:pt>
                <c:pt idx="115">
                  <c:v>164</c:v>
                </c:pt>
                <c:pt idx="116">
                  <c:v>165</c:v>
                </c:pt>
                <c:pt idx="117">
                  <c:v>166</c:v>
                </c:pt>
              </c:numCache>
            </c:numRef>
          </c:cat>
          <c:val>
            <c:numRef>
              <c:f>'Modern Family Multiple Regressi'!$AL$15:$AL$143</c:f>
              <c:numCache>
                <c:formatCode>0.000</c:formatCode>
                <c:ptCount val="129"/>
                <c:pt idx="0">
                  <c:v>13.575640657851221</c:v>
                </c:pt>
                <c:pt idx="1">
                  <c:v>13.447293794889198</c:v>
                </c:pt>
                <c:pt idx="2">
                  <c:v>13.318946931927176</c:v>
                </c:pt>
                <c:pt idx="3">
                  <c:v>13.190600068965153</c:v>
                </c:pt>
                <c:pt idx="4">
                  <c:v>13.062253206003131</c:v>
                </c:pt>
                <c:pt idx="5">
                  <c:v>12.933906343041109</c:v>
                </c:pt>
                <c:pt idx="6">
                  <c:v>12.805559480079086</c:v>
                </c:pt>
                <c:pt idx="7">
                  <c:v>12.677212617117064</c:v>
                </c:pt>
                <c:pt idx="8">
                  <c:v>12.548865754155042</c:v>
                </c:pt>
                <c:pt idx="9">
                  <c:v>12.420518891193018</c:v>
                </c:pt>
                <c:pt idx="10">
                  <c:v>12.292172028230995</c:v>
                </c:pt>
                <c:pt idx="11">
                  <c:v>12.163825165268973</c:v>
                </c:pt>
                <c:pt idx="12">
                  <c:v>12.03547830230695</c:v>
                </c:pt>
                <c:pt idx="13">
                  <c:v>11.907131439344928</c:v>
                </c:pt>
                <c:pt idx="14">
                  <c:v>11.778784576382906</c:v>
                </c:pt>
                <c:pt idx="15">
                  <c:v>11.650437713420883</c:v>
                </c:pt>
                <c:pt idx="16">
                  <c:v>11.522090850458861</c:v>
                </c:pt>
                <c:pt idx="17">
                  <c:v>11.393743987496839</c:v>
                </c:pt>
                <c:pt idx="18">
                  <c:v>11.265397124534816</c:v>
                </c:pt>
                <c:pt idx="19">
                  <c:v>11.137050261572794</c:v>
                </c:pt>
                <c:pt idx="20">
                  <c:v>11.008703398610772</c:v>
                </c:pt>
                <c:pt idx="21">
                  <c:v>10.880356535648747</c:v>
                </c:pt>
                <c:pt idx="22">
                  <c:v>10.752009672686725</c:v>
                </c:pt>
                <c:pt idx="23">
                  <c:v>10.623662809724703</c:v>
                </c:pt>
                <c:pt idx="24">
                  <c:v>12.556405590729913</c:v>
                </c:pt>
                <c:pt idx="25">
                  <c:v>12.42805872776789</c:v>
                </c:pt>
                <c:pt idx="26">
                  <c:v>12.299711864805868</c:v>
                </c:pt>
                <c:pt idx="27">
                  <c:v>12.171365001843846</c:v>
                </c:pt>
                <c:pt idx="28">
                  <c:v>12.043018138881823</c:v>
                </c:pt>
                <c:pt idx="29">
                  <c:v>11.914671275919801</c:v>
                </c:pt>
                <c:pt idx="30">
                  <c:v>11.786324412957779</c:v>
                </c:pt>
                <c:pt idx="31">
                  <c:v>11.657977549995756</c:v>
                </c:pt>
                <c:pt idx="32">
                  <c:v>11.529630687033734</c:v>
                </c:pt>
                <c:pt idx="33">
                  <c:v>11.40128382407171</c:v>
                </c:pt>
                <c:pt idx="34">
                  <c:v>11.272936961109687</c:v>
                </c:pt>
                <c:pt idx="35">
                  <c:v>11.144590098147665</c:v>
                </c:pt>
                <c:pt idx="36">
                  <c:v>11.016243235185643</c:v>
                </c:pt>
                <c:pt idx="37">
                  <c:v>10.88789637222362</c:v>
                </c:pt>
                <c:pt idx="38">
                  <c:v>10.759549509261598</c:v>
                </c:pt>
                <c:pt idx="39">
                  <c:v>10.631202646299576</c:v>
                </c:pt>
                <c:pt idx="40">
                  <c:v>10.502855783337553</c:v>
                </c:pt>
                <c:pt idx="41">
                  <c:v>10.374508920375531</c:v>
                </c:pt>
                <c:pt idx="42">
                  <c:v>10.246162057413509</c:v>
                </c:pt>
                <c:pt idx="43">
                  <c:v>10.117815194451486</c:v>
                </c:pt>
                <c:pt idx="44">
                  <c:v>9.9894683314894639</c:v>
                </c:pt>
                <c:pt idx="45">
                  <c:v>9.8611214685274398</c:v>
                </c:pt>
                <c:pt idx="46">
                  <c:v>9.7327746055654174</c:v>
                </c:pt>
                <c:pt idx="47">
                  <c:v>9.604427742603395</c:v>
                </c:pt>
                <c:pt idx="48">
                  <c:v>11.537170523608602</c:v>
                </c:pt>
                <c:pt idx="49">
                  <c:v>11.408823660646579</c:v>
                </c:pt>
                <c:pt idx="50">
                  <c:v>11.280476797684557</c:v>
                </c:pt>
                <c:pt idx="51">
                  <c:v>11.152129934722534</c:v>
                </c:pt>
                <c:pt idx="52">
                  <c:v>11.023783071760512</c:v>
                </c:pt>
                <c:pt idx="53">
                  <c:v>10.89543620879849</c:v>
                </c:pt>
                <c:pt idx="54">
                  <c:v>10.767089345836467</c:v>
                </c:pt>
                <c:pt idx="55">
                  <c:v>10.638742482874445</c:v>
                </c:pt>
                <c:pt idx="56">
                  <c:v>10.510395619912423</c:v>
                </c:pt>
                <c:pt idx="57">
                  <c:v>10.382048756950399</c:v>
                </c:pt>
                <c:pt idx="58">
                  <c:v>10.253701893988376</c:v>
                </c:pt>
                <c:pt idx="59">
                  <c:v>10.125355031026354</c:v>
                </c:pt>
                <c:pt idx="60">
                  <c:v>9.9970081680643315</c:v>
                </c:pt>
                <c:pt idx="61">
                  <c:v>9.8686613051023091</c:v>
                </c:pt>
                <c:pt idx="62">
                  <c:v>9.7403144421402867</c:v>
                </c:pt>
                <c:pt idx="63">
                  <c:v>9.6119675791782644</c:v>
                </c:pt>
                <c:pt idx="64">
                  <c:v>9.483620716216242</c:v>
                </c:pt>
                <c:pt idx="65">
                  <c:v>9.3552738532542197</c:v>
                </c:pt>
                <c:pt idx="66">
                  <c:v>9.2269269902921973</c:v>
                </c:pt>
                <c:pt idx="67">
                  <c:v>9.098580127330175</c:v>
                </c:pt>
                <c:pt idx="68">
                  <c:v>8.9702332643681526</c:v>
                </c:pt>
                <c:pt idx="69">
                  <c:v>8.8418864014061285</c:v>
                </c:pt>
                <c:pt idx="70">
                  <c:v>8.7135395384441061</c:v>
                </c:pt>
                <c:pt idx="71">
                  <c:v>8.5851926754820838</c:v>
                </c:pt>
                <c:pt idx="72">
                  <c:v>10.517935456487292</c:v>
                </c:pt>
                <c:pt idx="73">
                  <c:v>10.38958859352527</c:v>
                </c:pt>
                <c:pt idx="74">
                  <c:v>10.261241730563247</c:v>
                </c:pt>
                <c:pt idx="75">
                  <c:v>10.132894867601225</c:v>
                </c:pt>
                <c:pt idx="76">
                  <c:v>10.004548004639203</c:v>
                </c:pt>
                <c:pt idx="77">
                  <c:v>9.8762011416771802</c:v>
                </c:pt>
                <c:pt idx="78">
                  <c:v>9.7478542787151579</c:v>
                </c:pt>
                <c:pt idx="79">
                  <c:v>9.6195074157531337</c:v>
                </c:pt>
                <c:pt idx="80">
                  <c:v>9.4911605527911114</c:v>
                </c:pt>
                <c:pt idx="81">
                  <c:v>9.362813689829089</c:v>
                </c:pt>
                <c:pt idx="82">
                  <c:v>9.2344668268670667</c:v>
                </c:pt>
                <c:pt idx="83">
                  <c:v>9.1061199639050443</c:v>
                </c:pt>
                <c:pt idx="84">
                  <c:v>8.9777731009430219</c:v>
                </c:pt>
                <c:pt idx="85">
                  <c:v>8.8494262379809996</c:v>
                </c:pt>
                <c:pt idx="86">
                  <c:v>8.7210793750189772</c:v>
                </c:pt>
                <c:pt idx="87">
                  <c:v>8.5927325120569549</c:v>
                </c:pt>
                <c:pt idx="88">
                  <c:v>8.4643856490949325</c:v>
                </c:pt>
                <c:pt idx="89">
                  <c:v>8.3360387861329102</c:v>
                </c:pt>
                <c:pt idx="90">
                  <c:v>8.2076919231708878</c:v>
                </c:pt>
                <c:pt idx="91">
                  <c:v>8.0793450602088654</c:v>
                </c:pt>
                <c:pt idx="92">
                  <c:v>7.9509981972468431</c:v>
                </c:pt>
                <c:pt idx="93">
                  <c:v>7.8226513342848198</c:v>
                </c:pt>
                <c:pt idx="94">
                  <c:v>7.6943044713227975</c:v>
                </c:pt>
                <c:pt idx="95">
                  <c:v>7.5659576083607751</c:v>
                </c:pt>
                <c:pt idx="96">
                  <c:v>9.4987003893659825</c:v>
                </c:pt>
                <c:pt idx="97">
                  <c:v>9.3703535264039601</c:v>
                </c:pt>
                <c:pt idx="98">
                  <c:v>9.2420066634419378</c:v>
                </c:pt>
                <c:pt idx="99">
                  <c:v>9.1136598004799154</c:v>
                </c:pt>
                <c:pt idx="100">
                  <c:v>8.9853129375178931</c:v>
                </c:pt>
                <c:pt idx="101">
                  <c:v>8.8569660745558707</c:v>
                </c:pt>
                <c:pt idx="102">
                  <c:v>8.7286192115938483</c:v>
                </c:pt>
                <c:pt idx="103">
                  <c:v>8.600272348631826</c:v>
                </c:pt>
                <c:pt idx="104">
                  <c:v>8.4719254856698036</c:v>
                </c:pt>
                <c:pt idx="105">
                  <c:v>8.3435786227077795</c:v>
                </c:pt>
                <c:pt idx="106">
                  <c:v>8.2152317597457571</c:v>
                </c:pt>
                <c:pt idx="107">
                  <c:v>8.0868848967837348</c:v>
                </c:pt>
                <c:pt idx="108">
                  <c:v>7.9585380338217124</c:v>
                </c:pt>
                <c:pt idx="109">
                  <c:v>7.8301911708596901</c:v>
                </c:pt>
                <c:pt idx="110">
                  <c:v>7.7018443078976677</c:v>
                </c:pt>
                <c:pt idx="111">
                  <c:v>7.5734974449356454</c:v>
                </c:pt>
                <c:pt idx="112">
                  <c:v>7.445150581973623</c:v>
                </c:pt>
                <c:pt idx="113">
                  <c:v>7.3168037190116006</c:v>
                </c:pt>
                <c:pt idx="114">
                  <c:v>7.1884568560495783</c:v>
                </c:pt>
                <c:pt idx="115">
                  <c:v>7.0601099930875559</c:v>
                </c:pt>
                <c:pt idx="116">
                  <c:v>6.9317631301255336</c:v>
                </c:pt>
                <c:pt idx="117">
                  <c:v>6.8034162671635103</c:v>
                </c:pt>
                <c:pt idx="118">
                  <c:v>8.479465322244673</c:v>
                </c:pt>
                <c:pt idx="119">
                  <c:v>8.3511184592826506</c:v>
                </c:pt>
                <c:pt idx="120">
                  <c:v>8.2227715963206283</c:v>
                </c:pt>
                <c:pt idx="121">
                  <c:v>8.0944247333586059</c:v>
                </c:pt>
                <c:pt idx="122">
                  <c:v>7.9660778703965827</c:v>
                </c:pt>
                <c:pt idx="123">
                  <c:v>7.8377310074345603</c:v>
                </c:pt>
                <c:pt idx="124">
                  <c:v>7.7093841444725379</c:v>
                </c:pt>
                <c:pt idx="125">
                  <c:v>7.5810372815105156</c:v>
                </c:pt>
                <c:pt idx="126">
                  <c:v>7.4526904185484932</c:v>
                </c:pt>
                <c:pt idx="127">
                  <c:v>7.3243435555864709</c:v>
                </c:pt>
                <c:pt idx="128">
                  <c:v>7.1959966926244476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786496"/>
        <c:axId val="157788416"/>
      </c:lineChart>
      <c:catAx>
        <c:axId val="157786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Episode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788416"/>
        <c:crosses val="autoZero"/>
        <c:auto val="1"/>
        <c:lblAlgn val="ctr"/>
        <c:lblOffset val="100"/>
        <c:noMultiLvlLbl val="0"/>
      </c:catAx>
      <c:valAx>
        <c:axId val="157788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# Of Viewers (Millions)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78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58443245040333"/>
          <c:y val="0.71394221822976822"/>
          <c:w val="0.32071221853710408"/>
          <c:h val="0.128117925354513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Generic Exponential</a:t>
            </a:r>
            <a:r>
              <a:rPr lang="en-US" baseline="0"/>
              <a:t> Shape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79375"/>
          </c:spPr>
          <c:marker>
            <c:symbol val="none"/>
          </c:marker>
          <c:trendline>
            <c:spPr>
              <a:ln w="44450"/>
            </c:spPr>
            <c:trendlineType val="linear"/>
            <c:dispRSqr val="0"/>
            <c:dispEq val="1"/>
            <c:trendlineLbl>
              <c:layout>
                <c:manualLayout>
                  <c:x val="-0.16329812257331025"/>
                  <c:y val="-5.247156605424322E-3"/>
                </c:manualLayout>
              </c:layout>
              <c:numFmt formatCode="#,##0" sourceLinked="0"/>
            </c:trendlineLbl>
          </c:trendline>
          <c:xVal>
            <c:numRef>
              <c:f>'Exponential Regression'!$B$6:$B$106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'Exponential Regression'!$C$6:$C$106</c:f>
              <c:numCache>
                <c:formatCode>0</c:formatCode>
                <c:ptCount val="101"/>
                <c:pt idx="0" formatCode="General">
                  <c:v>100</c:v>
                </c:pt>
                <c:pt idx="1">
                  <c:v>125</c:v>
                </c:pt>
                <c:pt idx="2">
                  <c:v>156.25</c:v>
                </c:pt>
                <c:pt idx="3">
                  <c:v>195.3125</c:v>
                </c:pt>
                <c:pt idx="4">
                  <c:v>244.140625</c:v>
                </c:pt>
                <c:pt idx="5">
                  <c:v>305.17578125</c:v>
                </c:pt>
                <c:pt idx="6">
                  <c:v>381.4697265625</c:v>
                </c:pt>
                <c:pt idx="7">
                  <c:v>476.837158203125</c:v>
                </c:pt>
                <c:pt idx="8">
                  <c:v>596.04644775390625</c:v>
                </c:pt>
                <c:pt idx="9">
                  <c:v>745.05805969238281</c:v>
                </c:pt>
                <c:pt idx="10">
                  <c:v>931.32257461547852</c:v>
                </c:pt>
                <c:pt idx="11">
                  <c:v>1164.1532182693481</c:v>
                </c:pt>
                <c:pt idx="12">
                  <c:v>1455.1915228366852</c:v>
                </c:pt>
                <c:pt idx="13">
                  <c:v>1818.9894035458565</c:v>
                </c:pt>
                <c:pt idx="14">
                  <c:v>2273.7367544323206</c:v>
                </c:pt>
                <c:pt idx="15">
                  <c:v>2842.1709430404007</c:v>
                </c:pt>
                <c:pt idx="16">
                  <c:v>3552.7136788005009</c:v>
                </c:pt>
                <c:pt idx="17">
                  <c:v>4440.8920985006262</c:v>
                </c:pt>
                <c:pt idx="18">
                  <c:v>5551.1151231257827</c:v>
                </c:pt>
                <c:pt idx="19">
                  <c:v>6938.8939039072284</c:v>
                </c:pt>
                <c:pt idx="20">
                  <c:v>8673.6173798840355</c:v>
                </c:pt>
                <c:pt idx="21">
                  <c:v>10842.021724855043</c:v>
                </c:pt>
                <c:pt idx="22">
                  <c:v>13552.527156068805</c:v>
                </c:pt>
                <c:pt idx="23">
                  <c:v>16940.658945086005</c:v>
                </c:pt>
                <c:pt idx="24">
                  <c:v>21175.823681357506</c:v>
                </c:pt>
                <c:pt idx="25">
                  <c:v>26469.779601696882</c:v>
                </c:pt>
                <c:pt idx="26">
                  <c:v>33087.224502121106</c:v>
                </c:pt>
                <c:pt idx="27">
                  <c:v>41359.03062765138</c:v>
                </c:pt>
                <c:pt idx="28">
                  <c:v>51698.788284564223</c:v>
                </c:pt>
                <c:pt idx="29">
                  <c:v>64623.485355705277</c:v>
                </c:pt>
                <c:pt idx="30">
                  <c:v>80779.356694631599</c:v>
                </c:pt>
                <c:pt idx="31">
                  <c:v>100974.19586828951</c:v>
                </c:pt>
                <c:pt idx="32">
                  <c:v>126217.74483536188</c:v>
                </c:pt>
                <c:pt idx="33">
                  <c:v>157772.18104420236</c:v>
                </c:pt>
                <c:pt idx="34">
                  <c:v>197215.22630525293</c:v>
                </c:pt>
                <c:pt idx="35">
                  <c:v>246519.03288156615</c:v>
                </c:pt>
                <c:pt idx="36">
                  <c:v>308148.79110195767</c:v>
                </c:pt>
                <c:pt idx="37">
                  <c:v>385185.98887744709</c:v>
                </c:pt>
                <c:pt idx="38">
                  <c:v>481482.48609680886</c:v>
                </c:pt>
                <c:pt idx="39">
                  <c:v>601853.10762101109</c:v>
                </c:pt>
                <c:pt idx="40">
                  <c:v>752316.38452626392</c:v>
                </c:pt>
                <c:pt idx="41">
                  <c:v>940395.4806578299</c:v>
                </c:pt>
                <c:pt idx="42">
                  <c:v>1175494.3508222874</c:v>
                </c:pt>
                <c:pt idx="43">
                  <c:v>1469367.9385278593</c:v>
                </c:pt>
                <c:pt idx="44">
                  <c:v>1836709.9231598242</c:v>
                </c:pt>
                <c:pt idx="45">
                  <c:v>2295887.4039497804</c:v>
                </c:pt>
                <c:pt idx="46">
                  <c:v>2869859.2549372255</c:v>
                </c:pt>
                <c:pt idx="47">
                  <c:v>3587324.068671532</c:v>
                </c:pt>
                <c:pt idx="48">
                  <c:v>4484155.085839415</c:v>
                </c:pt>
                <c:pt idx="49">
                  <c:v>5605193.8572992682</c:v>
                </c:pt>
                <c:pt idx="50">
                  <c:v>7006492.3216240853</c:v>
                </c:pt>
                <c:pt idx="51">
                  <c:v>8758115.4020301066</c:v>
                </c:pt>
                <c:pt idx="52">
                  <c:v>10947644.252537634</c:v>
                </c:pt>
                <c:pt idx="53">
                  <c:v>13684555.315672044</c:v>
                </c:pt>
                <c:pt idx="54">
                  <c:v>17105694.144590054</c:v>
                </c:pt>
                <c:pt idx="55">
                  <c:v>21382117.680737566</c:v>
                </c:pt>
                <c:pt idx="56">
                  <c:v>26727647.100921959</c:v>
                </c:pt>
                <c:pt idx="57">
                  <c:v>33409558.876152448</c:v>
                </c:pt>
                <c:pt idx="58">
                  <c:v>41761948.595190562</c:v>
                </c:pt>
                <c:pt idx="59">
                  <c:v>52202435.743988201</c:v>
                </c:pt>
                <c:pt idx="60">
                  <c:v>65253044.679985255</c:v>
                </c:pt>
                <c:pt idx="61">
                  <c:v>81566305.849981576</c:v>
                </c:pt>
                <c:pt idx="62">
                  <c:v>101957882.31247696</c:v>
                </c:pt>
                <c:pt idx="63">
                  <c:v>127447352.89059621</c:v>
                </c:pt>
                <c:pt idx="64">
                  <c:v>159309191.11324525</c:v>
                </c:pt>
                <c:pt idx="65">
                  <c:v>199136488.89155656</c:v>
                </c:pt>
                <c:pt idx="66">
                  <c:v>248920611.11444569</c:v>
                </c:pt>
                <c:pt idx="67">
                  <c:v>311150763.89305711</c:v>
                </c:pt>
                <c:pt idx="68">
                  <c:v>388938454.86632138</c:v>
                </c:pt>
                <c:pt idx="69">
                  <c:v>486173068.58290172</c:v>
                </c:pt>
                <c:pt idx="70">
                  <c:v>607716335.7286272</c:v>
                </c:pt>
                <c:pt idx="71">
                  <c:v>759645419.66078401</c:v>
                </c:pt>
                <c:pt idx="72">
                  <c:v>949556774.57597995</c:v>
                </c:pt>
                <c:pt idx="73">
                  <c:v>1186945968.219975</c:v>
                </c:pt>
                <c:pt idx="74">
                  <c:v>1483682460.2749686</c:v>
                </c:pt>
                <c:pt idx="75">
                  <c:v>1854603075.3437109</c:v>
                </c:pt>
                <c:pt idx="76">
                  <c:v>2318253844.1796389</c:v>
                </c:pt>
                <c:pt idx="77">
                  <c:v>2897817305.2245483</c:v>
                </c:pt>
                <c:pt idx="78">
                  <c:v>3622271631.5306854</c:v>
                </c:pt>
                <c:pt idx="79">
                  <c:v>4527839539.4133568</c:v>
                </c:pt>
                <c:pt idx="80">
                  <c:v>5659799424.266696</c:v>
                </c:pt>
                <c:pt idx="81">
                  <c:v>7074749280.3333702</c:v>
                </c:pt>
                <c:pt idx="82">
                  <c:v>8843436600.4167137</c:v>
                </c:pt>
                <c:pt idx="83">
                  <c:v>11054295750.520893</c:v>
                </c:pt>
                <c:pt idx="84">
                  <c:v>13817869688.151115</c:v>
                </c:pt>
                <c:pt idx="85">
                  <c:v>17272337110.188896</c:v>
                </c:pt>
                <c:pt idx="86">
                  <c:v>21590421387.736122</c:v>
                </c:pt>
                <c:pt idx="87">
                  <c:v>26988026734.670151</c:v>
                </c:pt>
                <c:pt idx="88">
                  <c:v>33735033418.337688</c:v>
                </c:pt>
                <c:pt idx="89">
                  <c:v>42168791772.922112</c:v>
                </c:pt>
                <c:pt idx="90">
                  <c:v>52710989716.152641</c:v>
                </c:pt>
                <c:pt idx="91">
                  <c:v>65888737145.190804</c:v>
                </c:pt>
                <c:pt idx="92">
                  <c:v>82360921431.48851</c:v>
                </c:pt>
                <c:pt idx="93">
                  <c:v>102951151789.36064</c:v>
                </c:pt>
                <c:pt idx="94">
                  <c:v>128688939736.70081</c:v>
                </c:pt>
                <c:pt idx="95">
                  <c:v>160861174670.87601</c:v>
                </c:pt>
                <c:pt idx="96">
                  <c:v>201076468338.595</c:v>
                </c:pt>
                <c:pt idx="97">
                  <c:v>251345585423.24374</c:v>
                </c:pt>
                <c:pt idx="98">
                  <c:v>314181981779.05469</c:v>
                </c:pt>
                <c:pt idx="99">
                  <c:v>392727477223.81836</c:v>
                </c:pt>
                <c:pt idx="100">
                  <c:v>490909346529.77295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960512"/>
        <c:axId val="160962048"/>
      </c:scatterChart>
      <c:valAx>
        <c:axId val="16096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962048"/>
        <c:crosses val="autoZero"/>
        <c:crossBetween val="midCat"/>
      </c:valAx>
      <c:valAx>
        <c:axId val="1609620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0960512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Generic Exponential</a:t>
            </a:r>
            <a:r>
              <a:rPr lang="en-US" baseline="0"/>
              <a:t> Decay Shape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79375"/>
          </c:spPr>
          <c:marker>
            <c:symbol val="none"/>
          </c:marker>
          <c:trendline>
            <c:spPr>
              <a:ln w="44450"/>
            </c:spPr>
            <c:trendlineType val="linear"/>
            <c:dispRSqr val="0"/>
            <c:dispEq val="1"/>
            <c:trendlineLbl>
              <c:layout>
                <c:manualLayout>
                  <c:x val="-0.21650481189851267"/>
                  <c:y val="-0.23998359580052495"/>
                </c:manualLayout>
              </c:layout>
              <c:numFmt formatCode="#,##0" sourceLinked="0"/>
            </c:trendlineLbl>
          </c:trendline>
          <c:xVal>
            <c:numRef>
              <c:f>'Exponential Regression'!$L$7:$L$48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'Exponential Regression'!$M$6:$M$48</c:f>
              <c:numCache>
                <c:formatCode>0</c:formatCode>
                <c:ptCount val="43"/>
                <c:pt idx="0" formatCode="General">
                  <c:v>100</c:v>
                </c:pt>
                <c:pt idx="1">
                  <c:v>90</c:v>
                </c:pt>
                <c:pt idx="2">
                  <c:v>81</c:v>
                </c:pt>
                <c:pt idx="3">
                  <c:v>72.900000000000006</c:v>
                </c:pt>
                <c:pt idx="4">
                  <c:v>65.610000000000014</c:v>
                </c:pt>
                <c:pt idx="5">
                  <c:v>59.049000000000014</c:v>
                </c:pt>
                <c:pt idx="6">
                  <c:v>53.144100000000016</c:v>
                </c:pt>
                <c:pt idx="7">
                  <c:v>47.829690000000014</c:v>
                </c:pt>
                <c:pt idx="8">
                  <c:v>43.046721000000012</c:v>
                </c:pt>
                <c:pt idx="9">
                  <c:v>38.742048900000015</c:v>
                </c:pt>
                <c:pt idx="10">
                  <c:v>34.867844010000013</c:v>
                </c:pt>
                <c:pt idx="11">
                  <c:v>31.381059609000012</c:v>
                </c:pt>
                <c:pt idx="12">
                  <c:v>28.242953648100013</c:v>
                </c:pt>
                <c:pt idx="13">
                  <c:v>25.418658283290011</c:v>
                </c:pt>
                <c:pt idx="14">
                  <c:v>22.876792454961009</c:v>
                </c:pt>
                <c:pt idx="15">
                  <c:v>20.589113209464909</c:v>
                </c:pt>
                <c:pt idx="16">
                  <c:v>18.53020188851842</c:v>
                </c:pt>
                <c:pt idx="17">
                  <c:v>16.67718169966658</c:v>
                </c:pt>
                <c:pt idx="18">
                  <c:v>15.009463529699921</c:v>
                </c:pt>
                <c:pt idx="19">
                  <c:v>13.50851717672993</c:v>
                </c:pt>
                <c:pt idx="20">
                  <c:v>12.157665459056936</c:v>
                </c:pt>
                <c:pt idx="21">
                  <c:v>10.941898913151244</c:v>
                </c:pt>
                <c:pt idx="22">
                  <c:v>9.8477090218361187</c:v>
                </c:pt>
                <c:pt idx="23">
                  <c:v>8.8629381196525063</c:v>
                </c:pt>
                <c:pt idx="24">
                  <c:v>7.9766443076872555</c:v>
                </c:pt>
                <c:pt idx="25">
                  <c:v>7.1789798769185298</c:v>
                </c:pt>
                <c:pt idx="26">
                  <c:v>6.4610818892266773</c:v>
                </c:pt>
                <c:pt idx="27">
                  <c:v>5.8149737003040096</c:v>
                </c:pt>
                <c:pt idx="28">
                  <c:v>5.2334763302736089</c:v>
                </c:pt>
                <c:pt idx="29">
                  <c:v>4.7101286972462484</c:v>
                </c:pt>
                <c:pt idx="30">
                  <c:v>4.2391158275216236</c:v>
                </c:pt>
                <c:pt idx="31">
                  <c:v>3.8152042447694612</c:v>
                </c:pt>
                <c:pt idx="32">
                  <c:v>3.4336838202925151</c:v>
                </c:pt>
                <c:pt idx="33">
                  <c:v>3.0903154382632638</c:v>
                </c:pt>
                <c:pt idx="34">
                  <c:v>2.7812838944369376</c:v>
                </c:pt>
                <c:pt idx="35">
                  <c:v>2.5031555049932437</c:v>
                </c:pt>
                <c:pt idx="36">
                  <c:v>2.2528399544939193</c:v>
                </c:pt>
                <c:pt idx="37">
                  <c:v>2.0275559590445273</c:v>
                </c:pt>
                <c:pt idx="38">
                  <c:v>1.8248003631400747</c:v>
                </c:pt>
                <c:pt idx="39">
                  <c:v>1.6423203268260673</c:v>
                </c:pt>
                <c:pt idx="40">
                  <c:v>1.4780882941434605</c:v>
                </c:pt>
                <c:pt idx="41">
                  <c:v>1.3302794647291145</c:v>
                </c:pt>
                <c:pt idx="42">
                  <c:v>1.1972515182562031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991872"/>
        <c:axId val="161005952"/>
      </c:scatterChart>
      <c:valAx>
        <c:axId val="16099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005952"/>
        <c:crosses val="autoZero"/>
        <c:crossBetween val="midCat"/>
      </c:valAx>
      <c:valAx>
        <c:axId val="161005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0991872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Number Of Transistors</a:t>
            </a:r>
            <a:r>
              <a:rPr lang="en-US" baseline="0">
                <a:solidFill>
                  <a:sysClr val="windowText" lastClr="000000"/>
                </a:solidFill>
              </a:rPr>
              <a:t> vs Year</a:t>
            </a:r>
            <a:endParaRPr lang="en-US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'Moores Law Regression'!$B$7:$B$109</c:f>
              <c:numCache>
                <c:formatCode>General</c:formatCode>
                <c:ptCount val="103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1974</c:v>
                </c:pt>
                <c:pt idx="4">
                  <c:v>1974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1976</c:v>
                </c:pt>
                <c:pt idx="9">
                  <c:v>1978</c:v>
                </c:pt>
                <c:pt idx="10">
                  <c:v>1978</c:v>
                </c:pt>
                <c:pt idx="11">
                  <c:v>1979</c:v>
                </c:pt>
                <c:pt idx="12">
                  <c:v>1979</c:v>
                </c:pt>
                <c:pt idx="13">
                  <c:v>1981</c:v>
                </c:pt>
                <c:pt idx="14">
                  <c:v>1982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1985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1988</c:v>
                </c:pt>
                <c:pt idx="25">
                  <c:v>1989</c:v>
                </c:pt>
                <c:pt idx="26">
                  <c:v>1989</c:v>
                </c:pt>
                <c:pt idx="27">
                  <c:v>1991</c:v>
                </c:pt>
                <c:pt idx="28">
                  <c:v>1991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1999</c:v>
                </c:pt>
                <c:pt idx="39">
                  <c:v>1999</c:v>
                </c:pt>
                <c:pt idx="40">
                  <c:v>1999</c:v>
                </c:pt>
                <c:pt idx="41">
                  <c:v>1999</c:v>
                </c:pt>
                <c:pt idx="42">
                  <c:v>2000</c:v>
                </c:pt>
                <c:pt idx="43">
                  <c:v>2000</c:v>
                </c:pt>
                <c:pt idx="44">
                  <c:v>2001</c:v>
                </c:pt>
                <c:pt idx="45">
                  <c:v>2002</c:v>
                </c:pt>
                <c:pt idx="46">
                  <c:v>2002</c:v>
                </c:pt>
                <c:pt idx="47">
                  <c:v>2003</c:v>
                </c:pt>
                <c:pt idx="48">
                  <c:v>2003</c:v>
                </c:pt>
                <c:pt idx="49">
                  <c:v>2003</c:v>
                </c:pt>
                <c:pt idx="50">
                  <c:v>2004</c:v>
                </c:pt>
                <c:pt idx="51">
                  <c:v>2004</c:v>
                </c:pt>
                <c:pt idx="52">
                  <c:v>2005</c:v>
                </c:pt>
                <c:pt idx="53">
                  <c:v>2005</c:v>
                </c:pt>
                <c:pt idx="54">
                  <c:v>2006</c:v>
                </c:pt>
                <c:pt idx="55">
                  <c:v>2006</c:v>
                </c:pt>
                <c:pt idx="56">
                  <c:v>2006</c:v>
                </c:pt>
                <c:pt idx="57">
                  <c:v>2006</c:v>
                </c:pt>
                <c:pt idx="58">
                  <c:v>2006</c:v>
                </c:pt>
                <c:pt idx="59">
                  <c:v>2007</c:v>
                </c:pt>
                <c:pt idx="60">
                  <c:v>2007</c:v>
                </c:pt>
                <c:pt idx="61">
                  <c:v>2007</c:v>
                </c:pt>
                <c:pt idx="62">
                  <c:v>2007</c:v>
                </c:pt>
                <c:pt idx="63">
                  <c:v>2007</c:v>
                </c:pt>
                <c:pt idx="64">
                  <c:v>2008</c:v>
                </c:pt>
                <c:pt idx="65">
                  <c:v>2008</c:v>
                </c:pt>
                <c:pt idx="66">
                  <c:v>2008</c:v>
                </c:pt>
                <c:pt idx="67">
                  <c:v>2008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2010</c:v>
                </c:pt>
                <c:pt idx="72">
                  <c:v>2010</c:v>
                </c:pt>
                <c:pt idx="73">
                  <c:v>2010</c:v>
                </c:pt>
                <c:pt idx="74">
                  <c:v>2010</c:v>
                </c:pt>
                <c:pt idx="75">
                  <c:v>2010</c:v>
                </c:pt>
                <c:pt idx="76">
                  <c:v>2011</c:v>
                </c:pt>
                <c:pt idx="77">
                  <c:v>2011</c:v>
                </c:pt>
                <c:pt idx="78">
                  <c:v>2011</c:v>
                </c:pt>
                <c:pt idx="79">
                  <c:v>2012</c:v>
                </c:pt>
                <c:pt idx="80">
                  <c:v>2012</c:v>
                </c:pt>
                <c:pt idx="81">
                  <c:v>2012</c:v>
                </c:pt>
                <c:pt idx="82">
                  <c:v>2012</c:v>
                </c:pt>
                <c:pt idx="83">
                  <c:v>2012</c:v>
                </c:pt>
                <c:pt idx="84">
                  <c:v>2012</c:v>
                </c:pt>
                <c:pt idx="85">
                  <c:v>2012</c:v>
                </c:pt>
                <c:pt idx="86">
                  <c:v>2013</c:v>
                </c:pt>
                <c:pt idx="87">
                  <c:v>2013</c:v>
                </c:pt>
                <c:pt idx="88">
                  <c:v>2013</c:v>
                </c:pt>
                <c:pt idx="89">
                  <c:v>2013</c:v>
                </c:pt>
                <c:pt idx="90">
                  <c:v>2014</c:v>
                </c:pt>
                <c:pt idx="91">
                  <c:v>2014</c:v>
                </c:pt>
                <c:pt idx="92">
                  <c:v>2014</c:v>
                </c:pt>
                <c:pt idx="93">
                  <c:v>2014</c:v>
                </c:pt>
                <c:pt idx="94">
                  <c:v>2014</c:v>
                </c:pt>
                <c:pt idx="95">
                  <c:v>2014</c:v>
                </c:pt>
                <c:pt idx="96">
                  <c:v>2015</c:v>
                </c:pt>
                <c:pt idx="97">
                  <c:v>2015</c:v>
                </c:pt>
                <c:pt idx="98">
                  <c:v>2015</c:v>
                </c:pt>
                <c:pt idx="99">
                  <c:v>2015</c:v>
                </c:pt>
                <c:pt idx="100">
                  <c:v>2015</c:v>
                </c:pt>
                <c:pt idx="101">
                  <c:v>2016</c:v>
                </c:pt>
                <c:pt idx="102">
                  <c:v>2016</c:v>
                </c:pt>
              </c:numCache>
            </c:numRef>
          </c:xVal>
          <c:yVal>
            <c:numRef>
              <c:f>'Moores Law Regression'!$C$7:$C$109</c:f>
              <c:numCache>
                <c:formatCode>_(* #,##0_);_(* \(#,##0\);_(* "-"??_);_(@_)</c:formatCode>
                <c:ptCount val="103"/>
                <c:pt idx="0">
                  <c:v>2300</c:v>
                </c:pt>
                <c:pt idx="1">
                  <c:v>3500</c:v>
                </c:pt>
                <c:pt idx="2">
                  <c:v>4500</c:v>
                </c:pt>
                <c:pt idx="3">
                  <c:v>4100</c:v>
                </c:pt>
                <c:pt idx="4">
                  <c:v>5000</c:v>
                </c:pt>
                <c:pt idx="5">
                  <c:v>8000</c:v>
                </c:pt>
                <c:pt idx="6">
                  <c:v>3510</c:v>
                </c:pt>
                <c:pt idx="7">
                  <c:v>6500</c:v>
                </c:pt>
                <c:pt idx="8">
                  <c:v>8500</c:v>
                </c:pt>
                <c:pt idx="9">
                  <c:v>29000</c:v>
                </c:pt>
                <c:pt idx="10">
                  <c:v>9000</c:v>
                </c:pt>
                <c:pt idx="11">
                  <c:v>29000</c:v>
                </c:pt>
                <c:pt idx="12">
                  <c:v>68000</c:v>
                </c:pt>
                <c:pt idx="13">
                  <c:v>11500</c:v>
                </c:pt>
                <c:pt idx="14">
                  <c:v>55000</c:v>
                </c:pt>
                <c:pt idx="15">
                  <c:v>134000</c:v>
                </c:pt>
                <c:pt idx="16">
                  <c:v>22000</c:v>
                </c:pt>
                <c:pt idx="17">
                  <c:v>190000</c:v>
                </c:pt>
                <c:pt idx="18">
                  <c:v>25000</c:v>
                </c:pt>
                <c:pt idx="19">
                  <c:v>275000</c:v>
                </c:pt>
                <c:pt idx="20">
                  <c:v>16000</c:v>
                </c:pt>
                <c:pt idx="21">
                  <c:v>30000</c:v>
                </c:pt>
                <c:pt idx="22">
                  <c:v>553000</c:v>
                </c:pt>
                <c:pt idx="23">
                  <c:v>180000</c:v>
                </c:pt>
                <c:pt idx="24">
                  <c:v>250000</c:v>
                </c:pt>
                <c:pt idx="25">
                  <c:v>300000</c:v>
                </c:pt>
                <c:pt idx="26">
                  <c:v>1180235</c:v>
                </c:pt>
                <c:pt idx="27">
                  <c:v>35000</c:v>
                </c:pt>
                <c:pt idx="28">
                  <c:v>1350000</c:v>
                </c:pt>
                <c:pt idx="29">
                  <c:v>3100000</c:v>
                </c:pt>
                <c:pt idx="30">
                  <c:v>578977</c:v>
                </c:pt>
                <c:pt idx="31">
                  <c:v>5500000</c:v>
                </c:pt>
                <c:pt idx="32">
                  <c:v>2500000</c:v>
                </c:pt>
                <c:pt idx="33">
                  <c:v>4300000</c:v>
                </c:pt>
                <c:pt idx="34">
                  <c:v>8800000</c:v>
                </c:pt>
                <c:pt idx="35">
                  <c:v>7500000</c:v>
                </c:pt>
                <c:pt idx="36">
                  <c:v>7500000</c:v>
                </c:pt>
                <c:pt idx="37">
                  <c:v>21300000</c:v>
                </c:pt>
                <c:pt idx="38">
                  <c:v>22000000</c:v>
                </c:pt>
                <c:pt idx="39">
                  <c:v>111000</c:v>
                </c:pt>
                <c:pt idx="40">
                  <c:v>27400000</c:v>
                </c:pt>
                <c:pt idx="41">
                  <c:v>9500000</c:v>
                </c:pt>
                <c:pt idx="42">
                  <c:v>42000000</c:v>
                </c:pt>
                <c:pt idx="43">
                  <c:v>21000000</c:v>
                </c:pt>
                <c:pt idx="44">
                  <c:v>45000000</c:v>
                </c:pt>
                <c:pt idx="45">
                  <c:v>220000000</c:v>
                </c:pt>
                <c:pt idx="46">
                  <c:v>55000000</c:v>
                </c:pt>
                <c:pt idx="47">
                  <c:v>105900000</c:v>
                </c:pt>
                <c:pt idx="48">
                  <c:v>54300000</c:v>
                </c:pt>
                <c:pt idx="49">
                  <c:v>410000000</c:v>
                </c:pt>
                <c:pt idx="50">
                  <c:v>592000000</c:v>
                </c:pt>
                <c:pt idx="51">
                  <c:v>112000000</c:v>
                </c:pt>
                <c:pt idx="52">
                  <c:v>169000000</c:v>
                </c:pt>
                <c:pt idx="53">
                  <c:v>228000000</c:v>
                </c:pt>
                <c:pt idx="54">
                  <c:v>241000000</c:v>
                </c:pt>
                <c:pt idx="55">
                  <c:v>291000000</c:v>
                </c:pt>
                <c:pt idx="56">
                  <c:v>1700000000</c:v>
                </c:pt>
                <c:pt idx="57">
                  <c:v>184000000</c:v>
                </c:pt>
                <c:pt idx="58">
                  <c:v>362000000</c:v>
                </c:pt>
                <c:pt idx="59">
                  <c:v>463000000</c:v>
                </c:pt>
                <c:pt idx="60">
                  <c:v>26000000</c:v>
                </c:pt>
                <c:pt idx="61">
                  <c:v>169000000</c:v>
                </c:pt>
                <c:pt idx="62">
                  <c:v>411000000</c:v>
                </c:pt>
                <c:pt idx="63">
                  <c:v>789000000</c:v>
                </c:pt>
                <c:pt idx="64">
                  <c:v>758000000</c:v>
                </c:pt>
                <c:pt idx="65">
                  <c:v>47000000</c:v>
                </c:pt>
                <c:pt idx="66">
                  <c:v>230000000</c:v>
                </c:pt>
                <c:pt idx="67">
                  <c:v>731000000</c:v>
                </c:pt>
                <c:pt idx="68">
                  <c:v>1900000000</c:v>
                </c:pt>
                <c:pt idx="69">
                  <c:v>904000000</c:v>
                </c:pt>
                <c:pt idx="70">
                  <c:v>1000000000</c:v>
                </c:pt>
                <c:pt idx="71">
                  <c:v>1200000000</c:v>
                </c:pt>
                <c:pt idx="72">
                  <c:v>2300000000</c:v>
                </c:pt>
                <c:pt idx="73">
                  <c:v>2000000000</c:v>
                </c:pt>
                <c:pt idx="74">
                  <c:v>1400000000</c:v>
                </c:pt>
                <c:pt idx="75">
                  <c:v>1170000000</c:v>
                </c:pt>
                <c:pt idx="76">
                  <c:v>2600000000</c:v>
                </c:pt>
                <c:pt idx="77">
                  <c:v>1160000000</c:v>
                </c:pt>
                <c:pt idx="78">
                  <c:v>2270000000</c:v>
                </c:pt>
                <c:pt idx="79">
                  <c:v>5000000000</c:v>
                </c:pt>
                <c:pt idx="80">
                  <c:v>1200000000</c:v>
                </c:pt>
                <c:pt idx="81">
                  <c:v>3100000000</c:v>
                </c:pt>
                <c:pt idx="82">
                  <c:v>2100000000</c:v>
                </c:pt>
                <c:pt idx="83">
                  <c:v>1303000000</c:v>
                </c:pt>
                <c:pt idx="84">
                  <c:v>1400000000</c:v>
                </c:pt>
                <c:pt idx="85">
                  <c:v>2750000000</c:v>
                </c:pt>
                <c:pt idx="86">
                  <c:v>4200000000</c:v>
                </c:pt>
                <c:pt idx="87">
                  <c:v>1000000000</c:v>
                </c:pt>
                <c:pt idx="88">
                  <c:v>1860000000</c:v>
                </c:pt>
                <c:pt idx="89">
                  <c:v>5000000000</c:v>
                </c:pt>
                <c:pt idx="90">
                  <c:v>4310000000</c:v>
                </c:pt>
                <c:pt idx="91">
                  <c:v>5560000000</c:v>
                </c:pt>
                <c:pt idx="92">
                  <c:v>2600000000</c:v>
                </c:pt>
                <c:pt idx="93">
                  <c:v>2000000000</c:v>
                </c:pt>
                <c:pt idx="94">
                  <c:v>3000000000</c:v>
                </c:pt>
                <c:pt idx="95">
                  <c:v>1400000000</c:v>
                </c:pt>
                <c:pt idx="96">
                  <c:v>1900000000</c:v>
                </c:pt>
                <c:pt idx="97">
                  <c:v>3990000000</c:v>
                </c:pt>
                <c:pt idx="98">
                  <c:v>7100000000</c:v>
                </c:pt>
                <c:pt idx="99">
                  <c:v>1750000000</c:v>
                </c:pt>
                <c:pt idx="100">
                  <c:v>10000000000</c:v>
                </c:pt>
                <c:pt idx="101">
                  <c:v>7200000000</c:v>
                </c:pt>
                <c:pt idx="102">
                  <c:v>3300000000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357824"/>
        <c:axId val="161359744"/>
      </c:scatterChart>
      <c:valAx>
        <c:axId val="161357824"/>
        <c:scaling>
          <c:orientation val="minMax"/>
          <c:max val="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359744"/>
        <c:crosses val="autoZero"/>
        <c:crossBetween val="midCat"/>
      </c:valAx>
      <c:valAx>
        <c:axId val="161359744"/>
        <c:scaling>
          <c:orientation val="minMax"/>
          <c:max val="12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Transistor Count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357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ysClr val="windowText" lastClr="000000"/>
                </a:solidFill>
              </a:rPr>
              <a:t>Natural Log of Transitor</a:t>
            </a:r>
            <a:r>
              <a:rPr lang="en-US" sz="1800" baseline="0">
                <a:solidFill>
                  <a:sysClr val="windowText" lastClr="000000"/>
                </a:solidFill>
              </a:rPr>
              <a:t> Count</a:t>
            </a:r>
            <a:r>
              <a:rPr lang="en-US" sz="1800">
                <a:solidFill>
                  <a:sysClr val="windowText" lastClr="000000"/>
                </a:solidFill>
              </a:rPr>
              <a:t> vs Years Since</a:t>
            </a:r>
            <a:r>
              <a:rPr lang="en-US" sz="1800" baseline="0">
                <a:solidFill>
                  <a:sysClr val="windowText" lastClr="000000"/>
                </a:solidFill>
              </a:rPr>
              <a:t> 1970</a:t>
            </a:r>
            <a:endParaRPr lang="en-US" sz="18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47625">
                <a:solidFill>
                  <a:schemeClr val="accent1"/>
                </a:solidFill>
              </a:ln>
              <a:effectLst/>
            </c:spPr>
          </c:marker>
          <c:trendline>
            <c:spPr>
              <a:ln w="69850"/>
            </c:spPr>
            <c:trendlineType val="linear"/>
            <c:dispRSqr val="1"/>
            <c:dispEq val="1"/>
            <c:trendlineLbl>
              <c:layout>
                <c:manualLayout>
                  <c:x val="5.0431759378345792E-2"/>
                  <c:y val="0.2354797471952971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en-US"/>
                </a:p>
              </c:txPr>
            </c:trendlineLbl>
          </c:trendline>
          <c:xVal>
            <c:numRef>
              <c:f>'Moores Law Regression'!$H$7:$H$109</c:f>
              <c:numCache>
                <c:formatCode>0</c:formatCode>
                <c:ptCount val="10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18</c:v>
                </c:pt>
                <c:pt idx="25">
                  <c:v>19</c:v>
                </c:pt>
                <c:pt idx="26">
                  <c:v>19</c:v>
                </c:pt>
                <c:pt idx="27">
                  <c:v>21</c:v>
                </c:pt>
                <c:pt idx="28">
                  <c:v>21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29</c:v>
                </c:pt>
                <c:pt idx="42">
                  <c:v>30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32</c:v>
                </c:pt>
                <c:pt idx="47">
                  <c:v>33</c:v>
                </c:pt>
                <c:pt idx="48">
                  <c:v>33</c:v>
                </c:pt>
                <c:pt idx="49">
                  <c:v>33</c:v>
                </c:pt>
                <c:pt idx="50">
                  <c:v>34</c:v>
                </c:pt>
                <c:pt idx="51">
                  <c:v>34</c:v>
                </c:pt>
                <c:pt idx="52">
                  <c:v>35</c:v>
                </c:pt>
                <c:pt idx="53">
                  <c:v>35</c:v>
                </c:pt>
                <c:pt idx="54">
                  <c:v>36</c:v>
                </c:pt>
                <c:pt idx="55">
                  <c:v>36</c:v>
                </c:pt>
                <c:pt idx="56">
                  <c:v>36</c:v>
                </c:pt>
                <c:pt idx="57">
                  <c:v>36</c:v>
                </c:pt>
                <c:pt idx="58">
                  <c:v>36</c:v>
                </c:pt>
                <c:pt idx="59">
                  <c:v>37</c:v>
                </c:pt>
                <c:pt idx="60">
                  <c:v>37</c:v>
                </c:pt>
                <c:pt idx="61">
                  <c:v>37</c:v>
                </c:pt>
                <c:pt idx="62">
                  <c:v>37</c:v>
                </c:pt>
                <c:pt idx="63">
                  <c:v>37</c:v>
                </c:pt>
                <c:pt idx="64">
                  <c:v>38</c:v>
                </c:pt>
                <c:pt idx="65">
                  <c:v>38</c:v>
                </c:pt>
                <c:pt idx="66">
                  <c:v>38</c:v>
                </c:pt>
                <c:pt idx="67">
                  <c:v>38</c:v>
                </c:pt>
                <c:pt idx="68">
                  <c:v>38</c:v>
                </c:pt>
                <c:pt idx="69">
                  <c:v>39</c:v>
                </c:pt>
                <c:pt idx="70">
                  <c:v>40</c:v>
                </c:pt>
                <c:pt idx="71">
                  <c:v>40</c:v>
                </c:pt>
                <c:pt idx="72">
                  <c:v>40</c:v>
                </c:pt>
                <c:pt idx="73">
                  <c:v>40</c:v>
                </c:pt>
                <c:pt idx="74">
                  <c:v>40</c:v>
                </c:pt>
                <c:pt idx="75">
                  <c:v>40</c:v>
                </c:pt>
                <c:pt idx="76">
                  <c:v>41</c:v>
                </c:pt>
                <c:pt idx="77">
                  <c:v>41</c:v>
                </c:pt>
                <c:pt idx="78">
                  <c:v>41</c:v>
                </c:pt>
                <c:pt idx="79">
                  <c:v>42</c:v>
                </c:pt>
                <c:pt idx="80">
                  <c:v>42</c:v>
                </c:pt>
                <c:pt idx="81">
                  <c:v>42</c:v>
                </c:pt>
                <c:pt idx="82">
                  <c:v>42</c:v>
                </c:pt>
                <c:pt idx="83">
                  <c:v>42</c:v>
                </c:pt>
                <c:pt idx="84">
                  <c:v>42</c:v>
                </c:pt>
                <c:pt idx="85">
                  <c:v>42</c:v>
                </c:pt>
                <c:pt idx="86">
                  <c:v>43</c:v>
                </c:pt>
                <c:pt idx="87">
                  <c:v>43</c:v>
                </c:pt>
                <c:pt idx="88">
                  <c:v>43</c:v>
                </c:pt>
                <c:pt idx="89">
                  <c:v>43</c:v>
                </c:pt>
                <c:pt idx="90">
                  <c:v>44</c:v>
                </c:pt>
                <c:pt idx="91">
                  <c:v>44</c:v>
                </c:pt>
                <c:pt idx="92">
                  <c:v>44</c:v>
                </c:pt>
                <c:pt idx="93">
                  <c:v>44</c:v>
                </c:pt>
                <c:pt idx="94">
                  <c:v>44</c:v>
                </c:pt>
                <c:pt idx="95">
                  <c:v>44</c:v>
                </c:pt>
                <c:pt idx="96">
                  <c:v>45</c:v>
                </c:pt>
                <c:pt idx="97">
                  <c:v>45</c:v>
                </c:pt>
                <c:pt idx="98">
                  <c:v>45</c:v>
                </c:pt>
                <c:pt idx="99">
                  <c:v>45</c:v>
                </c:pt>
                <c:pt idx="100">
                  <c:v>45</c:v>
                </c:pt>
                <c:pt idx="101">
                  <c:v>46</c:v>
                </c:pt>
                <c:pt idx="102">
                  <c:v>46</c:v>
                </c:pt>
              </c:numCache>
            </c:numRef>
          </c:xVal>
          <c:yVal>
            <c:numRef>
              <c:f>'Moores Law Regression'!$J$7:$J$109</c:f>
              <c:numCache>
                <c:formatCode>0.000</c:formatCode>
                <c:ptCount val="103"/>
                <c:pt idx="0">
                  <c:v>7.7406644019172415</c:v>
                </c:pt>
                <c:pt idx="1">
                  <c:v>8.1605182474775049</c:v>
                </c:pt>
                <c:pt idx="2">
                  <c:v>8.4118326757584114</c:v>
                </c:pt>
                <c:pt idx="3">
                  <c:v>8.3187422526923989</c:v>
                </c:pt>
                <c:pt idx="4">
                  <c:v>8.5171931914162382</c:v>
                </c:pt>
                <c:pt idx="5">
                  <c:v>8.987196820661973</c:v>
                </c:pt>
                <c:pt idx="6">
                  <c:v>8.1633713164599122</c:v>
                </c:pt>
                <c:pt idx="7">
                  <c:v>8.7795574558837277</c:v>
                </c:pt>
                <c:pt idx="8">
                  <c:v>9.0478214424784085</c:v>
                </c:pt>
                <c:pt idx="9">
                  <c:v>10.275051108968611</c:v>
                </c:pt>
                <c:pt idx="10">
                  <c:v>9.1049798563183568</c:v>
                </c:pt>
                <c:pt idx="11">
                  <c:v>10.275051108968611</c:v>
                </c:pt>
                <c:pt idx="12">
                  <c:v>11.127262984158243</c:v>
                </c:pt>
                <c:pt idx="13">
                  <c:v>9.3501023143513411</c:v>
                </c:pt>
                <c:pt idx="14">
                  <c:v>10.915088464214607</c:v>
                </c:pt>
                <c:pt idx="15">
                  <c:v>11.805595078933049</c:v>
                </c:pt>
                <c:pt idx="16">
                  <c:v>9.9987977323404529</c:v>
                </c:pt>
                <c:pt idx="17">
                  <c:v>12.154779351142624</c:v>
                </c:pt>
                <c:pt idx="18">
                  <c:v>10.126631103850338</c:v>
                </c:pt>
                <c:pt idx="19">
                  <c:v>12.524526376648708</c:v>
                </c:pt>
                <c:pt idx="20">
                  <c:v>9.6803440012219184</c:v>
                </c:pt>
                <c:pt idx="21">
                  <c:v>10.308952660644293</c:v>
                </c:pt>
                <c:pt idx="22">
                  <c:v>13.223113280504473</c:v>
                </c:pt>
                <c:pt idx="23">
                  <c:v>12.100712129872347</c:v>
                </c:pt>
                <c:pt idx="24">
                  <c:v>12.429216196844383</c:v>
                </c:pt>
                <c:pt idx="25">
                  <c:v>12.611537753638338</c:v>
                </c:pt>
                <c:pt idx="26">
                  <c:v>13.981224129155985</c:v>
                </c:pt>
                <c:pt idx="27">
                  <c:v>10.46310334047155</c:v>
                </c:pt>
                <c:pt idx="28">
                  <c:v>14.115615150414612</c:v>
                </c:pt>
                <c:pt idx="29">
                  <c:v>14.946912669455374</c:v>
                </c:pt>
                <c:pt idx="30">
                  <c:v>13.269018032104642</c:v>
                </c:pt>
                <c:pt idx="31">
                  <c:v>15.520258650202699</c:v>
                </c:pt>
                <c:pt idx="32">
                  <c:v>14.73180128983843</c:v>
                </c:pt>
                <c:pt idx="33">
                  <c:v>15.274125580663791</c:v>
                </c:pt>
                <c:pt idx="34">
                  <c:v>15.990262279448435</c:v>
                </c:pt>
                <c:pt idx="35">
                  <c:v>15.830413578506539</c:v>
                </c:pt>
                <c:pt idx="36">
                  <c:v>15.830413578506539</c:v>
                </c:pt>
                <c:pt idx="37">
                  <c:v>16.874217630679652</c:v>
                </c:pt>
                <c:pt idx="38">
                  <c:v>16.90655301132259</c:v>
                </c:pt>
                <c:pt idx="39">
                  <c:v>11.617285480294472</c:v>
                </c:pt>
                <c:pt idx="40">
                  <c:v>17.126053571358298</c:v>
                </c:pt>
                <c:pt idx="41">
                  <c:v>16.066802356570768</c:v>
                </c:pt>
                <c:pt idx="42">
                  <c:v>17.553180176247643</c:v>
                </c:pt>
                <c:pt idx="43">
                  <c:v>16.860032995687696</c:v>
                </c:pt>
                <c:pt idx="44">
                  <c:v>17.622173047734595</c:v>
                </c:pt>
                <c:pt idx="45">
                  <c:v>19.209138104316636</c:v>
                </c:pt>
                <c:pt idx="46">
                  <c:v>17.822843743196746</c:v>
                </c:pt>
                <c:pt idx="47">
                  <c:v>18.478005810571634</c:v>
                </c:pt>
                <c:pt idx="48">
                  <c:v>17.810034784904165</c:v>
                </c:pt>
                <c:pt idx="49">
                  <c:v>19.831667717662629</c:v>
                </c:pt>
                <c:pt idx="50">
                  <c:v>20.199017192848281</c:v>
                </c:pt>
                <c:pt idx="51">
                  <c:v>18.534009429259367</c:v>
                </c:pt>
                <c:pt idx="52">
                  <c:v>18.945409272887346</c:v>
                </c:pt>
                <c:pt idx="53">
                  <c:v>19.244856186918714</c:v>
                </c:pt>
                <c:pt idx="54">
                  <c:v>19.30030749145493</c:v>
                </c:pt>
                <c:pt idx="55">
                  <c:v>19.488833825135767</c:v>
                </c:pt>
                <c:pt idx="56">
                  <c:v>21.253894088008582</c:v>
                </c:pt>
                <c:pt idx="57">
                  <c:v>19.030446315573261</c:v>
                </c:pt>
                <c:pt idx="58">
                  <c:v>19.707154769790044</c:v>
                </c:pt>
                <c:pt idx="59">
                  <c:v>19.953237612050508</c:v>
                </c:pt>
                <c:pt idx="60">
                  <c:v>17.073607095985757</c:v>
                </c:pt>
                <c:pt idx="61">
                  <c:v>18.945409272887346</c:v>
                </c:pt>
                <c:pt idx="62">
                  <c:v>19.834103772460509</c:v>
                </c:pt>
                <c:pt idx="63">
                  <c:v>20.486276878810148</c:v>
                </c:pt>
                <c:pt idx="64">
                  <c:v>20.446193943606644</c:v>
                </c:pt>
                <c:pt idx="65">
                  <c:v>17.665658159674333</c:v>
                </c:pt>
                <c:pt idx="66">
                  <c:v>19.25358986688747</c:v>
                </c:pt>
                <c:pt idx="67">
                  <c:v>20.409924017714051</c:v>
                </c:pt>
                <c:pt idx="68">
                  <c:v>21.365119723118806</c:v>
                </c:pt>
                <c:pt idx="69">
                  <c:v>20.622339918356449</c:v>
                </c:pt>
                <c:pt idx="70">
                  <c:v>20.72326583694641</c:v>
                </c:pt>
                <c:pt idx="71">
                  <c:v>20.905587393740365</c:v>
                </c:pt>
                <c:pt idx="72">
                  <c:v>21.556174959881517</c:v>
                </c:pt>
                <c:pt idx="73">
                  <c:v>21.416413017506358</c:v>
                </c:pt>
                <c:pt idx="74">
                  <c:v>21.059738073567623</c:v>
                </c:pt>
                <c:pt idx="75">
                  <c:v>20.880269585756075</c:v>
                </c:pt>
                <c:pt idx="76">
                  <c:v>21.678777281973847</c:v>
                </c:pt>
                <c:pt idx="77">
                  <c:v>20.871685842064686</c:v>
                </c:pt>
                <c:pt idx="78">
                  <c:v>21.543045668439724</c:v>
                </c:pt>
                <c:pt idx="79">
                  <c:v>22.33270374938051</c:v>
                </c:pt>
                <c:pt idx="80">
                  <c:v>20.905587393740365</c:v>
                </c:pt>
                <c:pt idx="81">
                  <c:v>21.854667948437513</c:v>
                </c:pt>
                <c:pt idx="82">
                  <c:v>21.46520318167579</c:v>
                </c:pt>
                <c:pt idx="83">
                  <c:v>20.987935135089121</c:v>
                </c:pt>
                <c:pt idx="84">
                  <c:v>21.059738073567623</c:v>
                </c:pt>
                <c:pt idx="85">
                  <c:v>21.734866748624892</c:v>
                </c:pt>
                <c:pt idx="86">
                  <c:v>22.158350362235733</c:v>
                </c:pt>
                <c:pt idx="87">
                  <c:v>20.72326583694641</c:v>
                </c:pt>
                <c:pt idx="88">
                  <c:v>21.34384232467152</c:v>
                </c:pt>
                <c:pt idx="89">
                  <c:v>22.33270374938051</c:v>
                </c:pt>
                <c:pt idx="90">
                  <c:v>22.184203741062067</c:v>
                </c:pt>
                <c:pt idx="91">
                  <c:v>22.438863945208901</c:v>
                </c:pt>
                <c:pt idx="92">
                  <c:v>21.678777281973847</c:v>
                </c:pt>
                <c:pt idx="93">
                  <c:v>21.416413017506358</c:v>
                </c:pt>
                <c:pt idx="94">
                  <c:v>21.821878125614521</c:v>
                </c:pt>
                <c:pt idx="95">
                  <c:v>21.059738073567623</c:v>
                </c:pt>
                <c:pt idx="96">
                  <c:v>21.365119723118806</c:v>
                </c:pt>
                <c:pt idx="97">
                  <c:v>22.107057067848181</c:v>
                </c:pt>
                <c:pt idx="98">
                  <c:v>22.683360620993682</c:v>
                </c:pt>
                <c:pt idx="99">
                  <c:v>21.282881624881835</c:v>
                </c:pt>
                <c:pt idx="100">
                  <c:v>23.025850929940457</c:v>
                </c:pt>
                <c:pt idx="101">
                  <c:v>22.69734686296842</c:v>
                </c:pt>
                <c:pt idx="102">
                  <c:v>21.917188305418847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393280"/>
        <c:axId val="161403648"/>
      </c:scatterChart>
      <c:valAx>
        <c:axId val="161393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Years After 1970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403648"/>
        <c:crosses val="autoZero"/>
        <c:crossBetween val="midCat"/>
        <c:majorUnit val="5"/>
      </c:valAx>
      <c:valAx>
        <c:axId val="1614036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Natural</a:t>
                </a:r>
                <a:r>
                  <a:rPr lang="en-US" sz="1600" baseline="0">
                    <a:solidFill>
                      <a:sysClr val="windowText" lastClr="000000"/>
                    </a:solidFill>
                  </a:rPr>
                  <a:t> Log of Transitor Count</a:t>
                </a:r>
                <a:endParaRPr lang="en-US" sz="16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393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571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ysClr val="windowText" lastClr="000000"/>
                </a:solidFill>
              </a:rPr>
              <a:t>Transitor</a:t>
            </a:r>
            <a:r>
              <a:rPr lang="en-US" sz="1800" baseline="0">
                <a:solidFill>
                  <a:sysClr val="windowText" lastClr="000000"/>
                </a:solidFill>
              </a:rPr>
              <a:t> Count</a:t>
            </a:r>
            <a:r>
              <a:rPr lang="en-US" sz="1800">
                <a:solidFill>
                  <a:sysClr val="windowText" lastClr="000000"/>
                </a:solidFill>
              </a:rPr>
              <a:t> vs Years 1971-2016</a:t>
            </a:r>
          </a:p>
        </c:rich>
      </c:tx>
      <c:layout>
        <c:manualLayout>
          <c:xMode val="edge"/>
          <c:yMode val="edge"/>
          <c:x val="0.28782913709860342"/>
          <c:y val="1.50509123776175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804283723793785"/>
          <c:y val="0.11794297557967708"/>
          <c:w val="0.71681312984025125"/>
          <c:h val="0.73026565559893497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47625">
                <a:solidFill>
                  <a:schemeClr val="accent1"/>
                </a:solidFill>
              </a:ln>
              <a:effectLst/>
            </c:spPr>
          </c:marker>
          <c:trendline>
            <c:spPr>
              <a:ln w="73025"/>
            </c:spPr>
            <c:trendlineType val="exp"/>
            <c:dispRSqr val="1"/>
            <c:dispEq val="1"/>
            <c:trendlineLbl>
              <c:layout>
                <c:manualLayout>
                  <c:x val="-4.5895687454634737E-2"/>
                  <c:y val="-3.2698415231813961E-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2400"/>
                  </a:pPr>
                  <a:endParaRPr lang="en-US"/>
                </a:p>
              </c:txPr>
            </c:trendlineLbl>
          </c:trendline>
          <c:xVal>
            <c:numRef>
              <c:f>'Moores Law Regression'!$H$7:$H$109</c:f>
              <c:numCache>
                <c:formatCode>0</c:formatCode>
                <c:ptCount val="10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18</c:v>
                </c:pt>
                <c:pt idx="25">
                  <c:v>19</c:v>
                </c:pt>
                <c:pt idx="26">
                  <c:v>19</c:v>
                </c:pt>
                <c:pt idx="27">
                  <c:v>21</c:v>
                </c:pt>
                <c:pt idx="28">
                  <c:v>21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29</c:v>
                </c:pt>
                <c:pt idx="42">
                  <c:v>30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32</c:v>
                </c:pt>
                <c:pt idx="47">
                  <c:v>33</c:v>
                </c:pt>
                <c:pt idx="48">
                  <c:v>33</c:v>
                </c:pt>
                <c:pt idx="49">
                  <c:v>33</c:v>
                </c:pt>
                <c:pt idx="50">
                  <c:v>34</c:v>
                </c:pt>
                <c:pt idx="51">
                  <c:v>34</c:v>
                </c:pt>
                <c:pt idx="52">
                  <c:v>35</c:v>
                </c:pt>
                <c:pt idx="53">
                  <c:v>35</c:v>
                </c:pt>
                <c:pt idx="54">
                  <c:v>36</c:v>
                </c:pt>
                <c:pt idx="55">
                  <c:v>36</c:v>
                </c:pt>
                <c:pt idx="56">
                  <c:v>36</c:v>
                </c:pt>
                <c:pt idx="57">
                  <c:v>36</c:v>
                </c:pt>
                <c:pt idx="58">
                  <c:v>36</c:v>
                </c:pt>
                <c:pt idx="59">
                  <c:v>37</c:v>
                </c:pt>
                <c:pt idx="60">
                  <c:v>37</c:v>
                </c:pt>
                <c:pt idx="61">
                  <c:v>37</c:v>
                </c:pt>
                <c:pt idx="62">
                  <c:v>37</c:v>
                </c:pt>
                <c:pt idx="63">
                  <c:v>37</c:v>
                </c:pt>
                <c:pt idx="64">
                  <c:v>38</c:v>
                </c:pt>
                <c:pt idx="65">
                  <c:v>38</c:v>
                </c:pt>
                <c:pt idx="66">
                  <c:v>38</c:v>
                </c:pt>
                <c:pt idx="67">
                  <c:v>38</c:v>
                </c:pt>
                <c:pt idx="68">
                  <c:v>38</c:v>
                </c:pt>
                <c:pt idx="69">
                  <c:v>39</c:v>
                </c:pt>
                <c:pt idx="70">
                  <c:v>40</c:v>
                </c:pt>
                <c:pt idx="71">
                  <c:v>40</c:v>
                </c:pt>
                <c:pt idx="72">
                  <c:v>40</c:v>
                </c:pt>
                <c:pt idx="73">
                  <c:v>40</c:v>
                </c:pt>
                <c:pt idx="74">
                  <c:v>40</c:v>
                </c:pt>
                <c:pt idx="75">
                  <c:v>40</c:v>
                </c:pt>
                <c:pt idx="76">
                  <c:v>41</c:v>
                </c:pt>
                <c:pt idx="77">
                  <c:v>41</c:v>
                </c:pt>
                <c:pt idx="78">
                  <c:v>41</c:v>
                </c:pt>
                <c:pt idx="79">
                  <c:v>42</c:v>
                </c:pt>
                <c:pt idx="80">
                  <c:v>42</c:v>
                </c:pt>
                <c:pt idx="81">
                  <c:v>42</c:v>
                </c:pt>
                <c:pt idx="82">
                  <c:v>42</c:v>
                </c:pt>
                <c:pt idx="83">
                  <c:v>42</c:v>
                </c:pt>
                <c:pt idx="84">
                  <c:v>42</c:v>
                </c:pt>
                <c:pt idx="85">
                  <c:v>42</c:v>
                </c:pt>
                <c:pt idx="86">
                  <c:v>43</c:v>
                </c:pt>
                <c:pt idx="87">
                  <c:v>43</c:v>
                </c:pt>
                <c:pt idx="88">
                  <c:v>43</c:v>
                </c:pt>
                <c:pt idx="89">
                  <c:v>43</c:v>
                </c:pt>
                <c:pt idx="90">
                  <c:v>44</c:v>
                </c:pt>
                <c:pt idx="91">
                  <c:v>44</c:v>
                </c:pt>
                <c:pt idx="92">
                  <c:v>44</c:v>
                </c:pt>
                <c:pt idx="93">
                  <c:v>44</c:v>
                </c:pt>
                <c:pt idx="94">
                  <c:v>44</c:v>
                </c:pt>
                <c:pt idx="95">
                  <c:v>44</c:v>
                </c:pt>
                <c:pt idx="96">
                  <c:v>45</c:v>
                </c:pt>
                <c:pt idx="97">
                  <c:v>45</c:v>
                </c:pt>
                <c:pt idx="98">
                  <c:v>45</c:v>
                </c:pt>
                <c:pt idx="99">
                  <c:v>45</c:v>
                </c:pt>
                <c:pt idx="100">
                  <c:v>45</c:v>
                </c:pt>
                <c:pt idx="101">
                  <c:v>46</c:v>
                </c:pt>
                <c:pt idx="102">
                  <c:v>46</c:v>
                </c:pt>
              </c:numCache>
            </c:numRef>
          </c:xVal>
          <c:yVal>
            <c:numRef>
              <c:f>'Moores Law Regression'!$C$7:$C$109</c:f>
              <c:numCache>
                <c:formatCode>_(* #,##0_);_(* \(#,##0\);_(* "-"??_);_(@_)</c:formatCode>
                <c:ptCount val="103"/>
                <c:pt idx="0">
                  <c:v>2300</c:v>
                </c:pt>
                <c:pt idx="1">
                  <c:v>3500</c:v>
                </c:pt>
                <c:pt idx="2">
                  <c:v>4500</c:v>
                </c:pt>
                <c:pt idx="3">
                  <c:v>4100</c:v>
                </c:pt>
                <c:pt idx="4">
                  <c:v>5000</c:v>
                </c:pt>
                <c:pt idx="5">
                  <c:v>8000</c:v>
                </c:pt>
                <c:pt idx="6">
                  <c:v>3510</c:v>
                </c:pt>
                <c:pt idx="7">
                  <c:v>6500</c:v>
                </c:pt>
                <c:pt idx="8">
                  <c:v>8500</c:v>
                </c:pt>
                <c:pt idx="9">
                  <c:v>29000</c:v>
                </c:pt>
                <c:pt idx="10">
                  <c:v>9000</c:v>
                </c:pt>
                <c:pt idx="11">
                  <c:v>29000</c:v>
                </c:pt>
                <c:pt idx="12">
                  <c:v>68000</c:v>
                </c:pt>
                <c:pt idx="13">
                  <c:v>11500</c:v>
                </c:pt>
                <c:pt idx="14">
                  <c:v>55000</c:v>
                </c:pt>
                <c:pt idx="15">
                  <c:v>134000</c:v>
                </c:pt>
                <c:pt idx="16">
                  <c:v>22000</c:v>
                </c:pt>
                <c:pt idx="17">
                  <c:v>190000</c:v>
                </c:pt>
                <c:pt idx="18">
                  <c:v>25000</c:v>
                </c:pt>
                <c:pt idx="19">
                  <c:v>275000</c:v>
                </c:pt>
                <c:pt idx="20">
                  <c:v>16000</c:v>
                </c:pt>
                <c:pt idx="21">
                  <c:v>30000</c:v>
                </c:pt>
                <c:pt idx="22">
                  <c:v>553000</c:v>
                </c:pt>
                <c:pt idx="23">
                  <c:v>180000</c:v>
                </c:pt>
                <c:pt idx="24">
                  <c:v>250000</c:v>
                </c:pt>
                <c:pt idx="25">
                  <c:v>300000</c:v>
                </c:pt>
                <c:pt idx="26">
                  <c:v>1180235</c:v>
                </c:pt>
                <c:pt idx="27">
                  <c:v>35000</c:v>
                </c:pt>
                <c:pt idx="28">
                  <c:v>1350000</c:v>
                </c:pt>
                <c:pt idx="29">
                  <c:v>3100000</c:v>
                </c:pt>
                <c:pt idx="30">
                  <c:v>578977</c:v>
                </c:pt>
                <c:pt idx="31">
                  <c:v>5500000</c:v>
                </c:pt>
                <c:pt idx="32">
                  <c:v>2500000</c:v>
                </c:pt>
                <c:pt idx="33">
                  <c:v>4300000</c:v>
                </c:pt>
                <c:pt idx="34">
                  <c:v>8800000</c:v>
                </c:pt>
                <c:pt idx="35">
                  <c:v>7500000</c:v>
                </c:pt>
                <c:pt idx="36">
                  <c:v>7500000</c:v>
                </c:pt>
                <c:pt idx="37">
                  <c:v>21300000</c:v>
                </c:pt>
                <c:pt idx="38">
                  <c:v>22000000</c:v>
                </c:pt>
                <c:pt idx="39">
                  <c:v>111000</c:v>
                </c:pt>
                <c:pt idx="40">
                  <c:v>27400000</c:v>
                </c:pt>
                <c:pt idx="41">
                  <c:v>9500000</c:v>
                </c:pt>
                <c:pt idx="42">
                  <c:v>42000000</c:v>
                </c:pt>
                <c:pt idx="43">
                  <c:v>21000000</c:v>
                </c:pt>
                <c:pt idx="44">
                  <c:v>45000000</c:v>
                </c:pt>
                <c:pt idx="45">
                  <c:v>220000000</c:v>
                </c:pt>
                <c:pt idx="46">
                  <c:v>55000000</c:v>
                </c:pt>
                <c:pt idx="47">
                  <c:v>105900000</c:v>
                </c:pt>
                <c:pt idx="48">
                  <c:v>54300000</c:v>
                </c:pt>
                <c:pt idx="49">
                  <c:v>410000000</c:v>
                </c:pt>
                <c:pt idx="50">
                  <c:v>592000000</c:v>
                </c:pt>
                <c:pt idx="51">
                  <c:v>112000000</c:v>
                </c:pt>
                <c:pt idx="52">
                  <c:v>169000000</c:v>
                </c:pt>
                <c:pt idx="53">
                  <c:v>228000000</c:v>
                </c:pt>
                <c:pt idx="54">
                  <c:v>241000000</c:v>
                </c:pt>
                <c:pt idx="55">
                  <c:v>291000000</c:v>
                </c:pt>
                <c:pt idx="56">
                  <c:v>1700000000</c:v>
                </c:pt>
                <c:pt idx="57">
                  <c:v>184000000</c:v>
                </c:pt>
                <c:pt idx="58">
                  <c:v>362000000</c:v>
                </c:pt>
                <c:pt idx="59">
                  <c:v>463000000</c:v>
                </c:pt>
                <c:pt idx="60">
                  <c:v>26000000</c:v>
                </c:pt>
                <c:pt idx="61">
                  <c:v>169000000</c:v>
                </c:pt>
                <c:pt idx="62">
                  <c:v>411000000</c:v>
                </c:pt>
                <c:pt idx="63">
                  <c:v>789000000</c:v>
                </c:pt>
                <c:pt idx="64">
                  <c:v>758000000</c:v>
                </c:pt>
                <c:pt idx="65">
                  <c:v>47000000</c:v>
                </c:pt>
                <c:pt idx="66">
                  <c:v>230000000</c:v>
                </c:pt>
                <c:pt idx="67">
                  <c:v>731000000</c:v>
                </c:pt>
                <c:pt idx="68">
                  <c:v>1900000000</c:v>
                </c:pt>
                <c:pt idx="69">
                  <c:v>904000000</c:v>
                </c:pt>
                <c:pt idx="70">
                  <c:v>1000000000</c:v>
                </c:pt>
                <c:pt idx="71">
                  <c:v>1200000000</c:v>
                </c:pt>
                <c:pt idx="72">
                  <c:v>2300000000</c:v>
                </c:pt>
                <c:pt idx="73">
                  <c:v>2000000000</c:v>
                </c:pt>
                <c:pt idx="74">
                  <c:v>1400000000</c:v>
                </c:pt>
                <c:pt idx="75">
                  <c:v>1170000000</c:v>
                </c:pt>
                <c:pt idx="76">
                  <c:v>2600000000</c:v>
                </c:pt>
                <c:pt idx="77">
                  <c:v>1160000000</c:v>
                </c:pt>
                <c:pt idx="78">
                  <c:v>2270000000</c:v>
                </c:pt>
                <c:pt idx="79">
                  <c:v>5000000000</c:v>
                </c:pt>
                <c:pt idx="80">
                  <c:v>1200000000</c:v>
                </c:pt>
                <c:pt idx="81">
                  <c:v>3100000000</c:v>
                </c:pt>
                <c:pt idx="82">
                  <c:v>2100000000</c:v>
                </c:pt>
                <c:pt idx="83">
                  <c:v>1303000000</c:v>
                </c:pt>
                <c:pt idx="84">
                  <c:v>1400000000</c:v>
                </c:pt>
                <c:pt idx="85">
                  <c:v>2750000000</c:v>
                </c:pt>
                <c:pt idx="86">
                  <c:v>4200000000</c:v>
                </c:pt>
                <c:pt idx="87">
                  <c:v>1000000000</c:v>
                </c:pt>
                <c:pt idx="88">
                  <c:v>1860000000</c:v>
                </c:pt>
                <c:pt idx="89">
                  <c:v>5000000000</c:v>
                </c:pt>
                <c:pt idx="90">
                  <c:v>4310000000</c:v>
                </c:pt>
                <c:pt idx="91">
                  <c:v>5560000000</c:v>
                </c:pt>
                <c:pt idx="92">
                  <c:v>2600000000</c:v>
                </c:pt>
                <c:pt idx="93">
                  <c:v>2000000000</c:v>
                </c:pt>
                <c:pt idx="94">
                  <c:v>3000000000</c:v>
                </c:pt>
                <c:pt idx="95">
                  <c:v>1400000000</c:v>
                </c:pt>
                <c:pt idx="96">
                  <c:v>1900000000</c:v>
                </c:pt>
                <c:pt idx="97">
                  <c:v>3990000000</c:v>
                </c:pt>
                <c:pt idx="98">
                  <c:v>7100000000</c:v>
                </c:pt>
                <c:pt idx="99">
                  <c:v>1750000000</c:v>
                </c:pt>
                <c:pt idx="100">
                  <c:v>10000000000</c:v>
                </c:pt>
                <c:pt idx="101">
                  <c:v>7200000000</c:v>
                </c:pt>
                <c:pt idx="102">
                  <c:v>3300000000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273088"/>
        <c:axId val="133275008"/>
      </c:scatterChart>
      <c:valAx>
        <c:axId val="133273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Years After 1970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275008"/>
        <c:crosses val="autoZero"/>
        <c:crossBetween val="midCat"/>
        <c:majorUnit val="5"/>
      </c:valAx>
      <c:valAx>
        <c:axId val="1332750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>
                    <a:solidFill>
                      <a:sysClr val="windowText" lastClr="000000"/>
                    </a:solidFill>
                  </a:rPr>
                  <a:t>Transitor Count</a:t>
                </a:r>
                <a:endParaRPr lang="en-US" sz="16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288065843621399E-2"/>
              <c:y val="0.342819881031549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273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571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Transitor</a:t>
            </a:r>
            <a:r>
              <a:rPr lang="en-US" sz="1800" baseline="0"/>
              <a:t> Count</a:t>
            </a:r>
            <a:r>
              <a:rPr lang="en-US" sz="1800"/>
              <a:t> vs Years 1971-2010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1641237064332045"/>
          <c:y val="0.11794297557967708"/>
          <c:w val="0.74844362421056987"/>
          <c:h val="0.73026565559893497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47625">
                <a:solidFill>
                  <a:schemeClr val="accent1"/>
                </a:solidFill>
              </a:ln>
              <a:effectLst/>
            </c:spPr>
          </c:marker>
          <c:xVal>
            <c:numRef>
              <c:f>'Moores Law Regression'!$H$7:$H$82</c:f>
              <c:numCache>
                <c:formatCode>0</c:formatCode>
                <c:ptCount val="7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18</c:v>
                </c:pt>
                <c:pt idx="25">
                  <c:v>19</c:v>
                </c:pt>
                <c:pt idx="26">
                  <c:v>19</c:v>
                </c:pt>
                <c:pt idx="27">
                  <c:v>21</c:v>
                </c:pt>
                <c:pt idx="28">
                  <c:v>21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29</c:v>
                </c:pt>
                <c:pt idx="42">
                  <c:v>30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32</c:v>
                </c:pt>
                <c:pt idx="47">
                  <c:v>33</c:v>
                </c:pt>
                <c:pt idx="48">
                  <c:v>33</c:v>
                </c:pt>
                <c:pt idx="49">
                  <c:v>33</c:v>
                </c:pt>
                <c:pt idx="50">
                  <c:v>34</c:v>
                </c:pt>
                <c:pt idx="51">
                  <c:v>34</c:v>
                </c:pt>
                <c:pt idx="52">
                  <c:v>35</c:v>
                </c:pt>
                <c:pt idx="53">
                  <c:v>35</c:v>
                </c:pt>
                <c:pt idx="54">
                  <c:v>36</c:v>
                </c:pt>
                <c:pt idx="55">
                  <c:v>36</c:v>
                </c:pt>
                <c:pt idx="56">
                  <c:v>36</c:v>
                </c:pt>
                <c:pt idx="57">
                  <c:v>36</c:v>
                </c:pt>
                <c:pt idx="58">
                  <c:v>36</c:v>
                </c:pt>
                <c:pt idx="59">
                  <c:v>37</c:v>
                </c:pt>
                <c:pt idx="60">
                  <c:v>37</c:v>
                </c:pt>
                <c:pt idx="61">
                  <c:v>37</c:v>
                </c:pt>
                <c:pt idx="62">
                  <c:v>37</c:v>
                </c:pt>
                <c:pt idx="63">
                  <c:v>37</c:v>
                </c:pt>
                <c:pt idx="64">
                  <c:v>38</c:v>
                </c:pt>
                <c:pt idx="65">
                  <c:v>38</c:v>
                </c:pt>
                <c:pt idx="66">
                  <c:v>38</c:v>
                </c:pt>
                <c:pt idx="67">
                  <c:v>38</c:v>
                </c:pt>
                <c:pt idx="68">
                  <c:v>38</c:v>
                </c:pt>
                <c:pt idx="69">
                  <c:v>39</c:v>
                </c:pt>
                <c:pt idx="70">
                  <c:v>40</c:v>
                </c:pt>
                <c:pt idx="71">
                  <c:v>40</c:v>
                </c:pt>
                <c:pt idx="72">
                  <c:v>40</c:v>
                </c:pt>
                <c:pt idx="73">
                  <c:v>40</c:v>
                </c:pt>
                <c:pt idx="74">
                  <c:v>40</c:v>
                </c:pt>
                <c:pt idx="75">
                  <c:v>40</c:v>
                </c:pt>
              </c:numCache>
            </c:numRef>
          </c:xVal>
          <c:yVal>
            <c:numRef>
              <c:f>'Moores Law Regression'!$C$7:$C$82</c:f>
              <c:numCache>
                <c:formatCode>_(* #,##0_);_(* \(#,##0\);_(* "-"??_);_(@_)</c:formatCode>
                <c:ptCount val="76"/>
                <c:pt idx="0">
                  <c:v>2300</c:v>
                </c:pt>
                <c:pt idx="1">
                  <c:v>3500</c:v>
                </c:pt>
                <c:pt idx="2">
                  <c:v>4500</c:v>
                </c:pt>
                <c:pt idx="3">
                  <c:v>4100</c:v>
                </c:pt>
                <c:pt idx="4">
                  <c:v>5000</c:v>
                </c:pt>
                <c:pt idx="5">
                  <c:v>8000</c:v>
                </c:pt>
                <c:pt idx="6">
                  <c:v>3510</c:v>
                </c:pt>
                <c:pt idx="7">
                  <c:v>6500</c:v>
                </c:pt>
                <c:pt idx="8">
                  <c:v>8500</c:v>
                </c:pt>
                <c:pt idx="9">
                  <c:v>29000</c:v>
                </c:pt>
                <c:pt idx="10">
                  <c:v>9000</c:v>
                </c:pt>
                <c:pt idx="11">
                  <c:v>29000</c:v>
                </c:pt>
                <c:pt idx="12">
                  <c:v>68000</c:v>
                </c:pt>
                <c:pt idx="13">
                  <c:v>11500</c:v>
                </c:pt>
                <c:pt idx="14">
                  <c:v>55000</c:v>
                </c:pt>
                <c:pt idx="15">
                  <c:v>134000</c:v>
                </c:pt>
                <c:pt idx="16">
                  <c:v>22000</c:v>
                </c:pt>
                <c:pt idx="17">
                  <c:v>190000</c:v>
                </c:pt>
                <c:pt idx="18">
                  <c:v>25000</c:v>
                </c:pt>
                <c:pt idx="19">
                  <c:v>275000</c:v>
                </c:pt>
                <c:pt idx="20">
                  <c:v>16000</c:v>
                </c:pt>
                <c:pt idx="21">
                  <c:v>30000</c:v>
                </c:pt>
                <c:pt idx="22">
                  <c:v>553000</c:v>
                </c:pt>
                <c:pt idx="23">
                  <c:v>180000</c:v>
                </c:pt>
                <c:pt idx="24">
                  <c:v>250000</c:v>
                </c:pt>
                <c:pt idx="25">
                  <c:v>300000</c:v>
                </c:pt>
                <c:pt idx="26">
                  <c:v>1180235</c:v>
                </c:pt>
                <c:pt idx="27">
                  <c:v>35000</c:v>
                </c:pt>
                <c:pt idx="28">
                  <c:v>1350000</c:v>
                </c:pt>
                <c:pt idx="29">
                  <c:v>3100000</c:v>
                </c:pt>
                <c:pt idx="30">
                  <c:v>578977</c:v>
                </c:pt>
                <c:pt idx="31">
                  <c:v>5500000</c:v>
                </c:pt>
                <c:pt idx="32">
                  <c:v>2500000</c:v>
                </c:pt>
                <c:pt idx="33">
                  <c:v>4300000</c:v>
                </c:pt>
                <c:pt idx="34">
                  <c:v>8800000</c:v>
                </c:pt>
                <c:pt idx="35">
                  <c:v>7500000</c:v>
                </c:pt>
                <c:pt idx="36">
                  <c:v>7500000</c:v>
                </c:pt>
                <c:pt idx="37">
                  <c:v>21300000</c:v>
                </c:pt>
                <c:pt idx="38">
                  <c:v>22000000</c:v>
                </c:pt>
                <c:pt idx="39">
                  <c:v>111000</c:v>
                </c:pt>
                <c:pt idx="40">
                  <c:v>27400000</c:v>
                </c:pt>
                <c:pt idx="41">
                  <c:v>9500000</c:v>
                </c:pt>
                <c:pt idx="42">
                  <c:v>42000000</c:v>
                </c:pt>
                <c:pt idx="43">
                  <c:v>21000000</c:v>
                </c:pt>
                <c:pt idx="44">
                  <c:v>45000000</c:v>
                </c:pt>
                <c:pt idx="45">
                  <c:v>220000000</c:v>
                </c:pt>
                <c:pt idx="46">
                  <c:v>55000000</c:v>
                </c:pt>
                <c:pt idx="47">
                  <c:v>105900000</c:v>
                </c:pt>
                <c:pt idx="48">
                  <c:v>54300000</c:v>
                </c:pt>
                <c:pt idx="49">
                  <c:v>410000000</c:v>
                </c:pt>
                <c:pt idx="50">
                  <c:v>592000000</c:v>
                </c:pt>
                <c:pt idx="51">
                  <c:v>112000000</c:v>
                </c:pt>
                <c:pt idx="52">
                  <c:v>169000000</c:v>
                </c:pt>
                <c:pt idx="53">
                  <c:v>228000000</c:v>
                </c:pt>
                <c:pt idx="54">
                  <c:v>241000000</c:v>
                </c:pt>
                <c:pt idx="55">
                  <c:v>291000000</c:v>
                </c:pt>
                <c:pt idx="56">
                  <c:v>1700000000</c:v>
                </c:pt>
                <c:pt idx="57">
                  <c:v>184000000</c:v>
                </c:pt>
                <c:pt idx="58">
                  <c:v>362000000</c:v>
                </c:pt>
                <c:pt idx="59">
                  <c:v>463000000</c:v>
                </c:pt>
                <c:pt idx="60">
                  <c:v>26000000</c:v>
                </c:pt>
                <c:pt idx="61">
                  <c:v>169000000</c:v>
                </c:pt>
                <c:pt idx="62">
                  <c:v>411000000</c:v>
                </c:pt>
                <c:pt idx="63">
                  <c:v>789000000</c:v>
                </c:pt>
                <c:pt idx="64">
                  <c:v>758000000</c:v>
                </c:pt>
                <c:pt idx="65">
                  <c:v>47000000</c:v>
                </c:pt>
                <c:pt idx="66">
                  <c:v>230000000</c:v>
                </c:pt>
                <c:pt idx="67">
                  <c:v>731000000</c:v>
                </c:pt>
                <c:pt idx="68">
                  <c:v>1900000000</c:v>
                </c:pt>
                <c:pt idx="69">
                  <c:v>904000000</c:v>
                </c:pt>
                <c:pt idx="70">
                  <c:v>1000000000</c:v>
                </c:pt>
                <c:pt idx="71">
                  <c:v>1200000000</c:v>
                </c:pt>
                <c:pt idx="72">
                  <c:v>2300000000</c:v>
                </c:pt>
                <c:pt idx="73">
                  <c:v>2000000000</c:v>
                </c:pt>
                <c:pt idx="74">
                  <c:v>1400000000</c:v>
                </c:pt>
                <c:pt idx="75">
                  <c:v>1170000000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50720"/>
        <c:axId val="133309952"/>
      </c:scatterChart>
      <c:valAx>
        <c:axId val="72350720"/>
        <c:scaling>
          <c:orientation val="minMax"/>
          <c:max val="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Years After 1970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09952"/>
        <c:crosses val="autoZero"/>
        <c:crossBetween val="midCat"/>
        <c:majorUnit val="5"/>
      </c:valAx>
      <c:valAx>
        <c:axId val="1333099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Transitor Count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1.0288065843621399E-2"/>
              <c:y val="0.342819881031549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50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571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Transitor</a:t>
            </a:r>
            <a:r>
              <a:rPr lang="en-US" sz="1800" baseline="0"/>
              <a:t> Count</a:t>
            </a:r>
            <a:r>
              <a:rPr lang="en-US" sz="1800"/>
              <a:t> vs Years 1971-2000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877514498367133"/>
          <c:y val="0.11794297557967708"/>
          <c:w val="0.76608070339671064"/>
          <c:h val="0.73026565559893497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47625">
                <a:solidFill>
                  <a:schemeClr val="accent1"/>
                </a:solidFill>
              </a:ln>
              <a:effectLst/>
            </c:spPr>
          </c:marker>
          <c:xVal>
            <c:numRef>
              <c:f>'Moores Law Regression'!$H$7:$H$50</c:f>
              <c:numCache>
                <c:formatCode>0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18</c:v>
                </c:pt>
                <c:pt idx="25">
                  <c:v>19</c:v>
                </c:pt>
                <c:pt idx="26">
                  <c:v>19</c:v>
                </c:pt>
                <c:pt idx="27">
                  <c:v>21</c:v>
                </c:pt>
                <c:pt idx="28">
                  <c:v>21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29</c:v>
                </c:pt>
                <c:pt idx="42">
                  <c:v>30</c:v>
                </c:pt>
                <c:pt idx="43">
                  <c:v>30</c:v>
                </c:pt>
              </c:numCache>
            </c:numRef>
          </c:xVal>
          <c:yVal>
            <c:numRef>
              <c:f>'Moores Law Regression'!$C$7:$C$50</c:f>
              <c:numCache>
                <c:formatCode>_(* #,##0_);_(* \(#,##0\);_(* "-"??_);_(@_)</c:formatCode>
                <c:ptCount val="44"/>
                <c:pt idx="0">
                  <c:v>2300</c:v>
                </c:pt>
                <c:pt idx="1">
                  <c:v>3500</c:v>
                </c:pt>
                <c:pt idx="2">
                  <c:v>4500</c:v>
                </c:pt>
                <c:pt idx="3">
                  <c:v>4100</c:v>
                </c:pt>
                <c:pt idx="4">
                  <c:v>5000</c:v>
                </c:pt>
                <c:pt idx="5">
                  <c:v>8000</c:v>
                </c:pt>
                <c:pt idx="6">
                  <c:v>3510</c:v>
                </c:pt>
                <c:pt idx="7">
                  <c:v>6500</c:v>
                </c:pt>
                <c:pt idx="8">
                  <c:v>8500</c:v>
                </c:pt>
                <c:pt idx="9">
                  <c:v>29000</c:v>
                </c:pt>
                <c:pt idx="10">
                  <c:v>9000</c:v>
                </c:pt>
                <c:pt idx="11">
                  <c:v>29000</c:v>
                </c:pt>
                <c:pt idx="12">
                  <c:v>68000</c:v>
                </c:pt>
                <c:pt idx="13">
                  <c:v>11500</c:v>
                </c:pt>
                <c:pt idx="14">
                  <c:v>55000</c:v>
                </c:pt>
                <c:pt idx="15">
                  <c:v>134000</c:v>
                </c:pt>
                <c:pt idx="16">
                  <c:v>22000</c:v>
                </c:pt>
                <c:pt idx="17">
                  <c:v>190000</c:v>
                </c:pt>
                <c:pt idx="18">
                  <c:v>25000</c:v>
                </c:pt>
                <c:pt idx="19">
                  <c:v>275000</c:v>
                </c:pt>
                <c:pt idx="20">
                  <c:v>16000</c:v>
                </c:pt>
                <c:pt idx="21">
                  <c:v>30000</c:v>
                </c:pt>
                <c:pt idx="22">
                  <c:v>553000</c:v>
                </c:pt>
                <c:pt idx="23">
                  <c:v>180000</c:v>
                </c:pt>
                <c:pt idx="24">
                  <c:v>250000</c:v>
                </c:pt>
                <c:pt idx="25">
                  <c:v>300000</c:v>
                </c:pt>
                <c:pt idx="26">
                  <c:v>1180235</c:v>
                </c:pt>
                <c:pt idx="27">
                  <c:v>35000</c:v>
                </c:pt>
                <c:pt idx="28">
                  <c:v>1350000</c:v>
                </c:pt>
                <c:pt idx="29">
                  <c:v>3100000</c:v>
                </c:pt>
                <c:pt idx="30">
                  <c:v>578977</c:v>
                </c:pt>
                <c:pt idx="31">
                  <c:v>5500000</c:v>
                </c:pt>
                <c:pt idx="32">
                  <c:v>2500000</c:v>
                </c:pt>
                <c:pt idx="33">
                  <c:v>4300000</c:v>
                </c:pt>
                <c:pt idx="34">
                  <c:v>8800000</c:v>
                </c:pt>
                <c:pt idx="35">
                  <c:v>7500000</c:v>
                </c:pt>
                <c:pt idx="36">
                  <c:v>7500000</c:v>
                </c:pt>
                <c:pt idx="37">
                  <c:v>21300000</c:v>
                </c:pt>
                <c:pt idx="38">
                  <c:v>22000000</c:v>
                </c:pt>
                <c:pt idx="39">
                  <c:v>111000</c:v>
                </c:pt>
                <c:pt idx="40">
                  <c:v>27400000</c:v>
                </c:pt>
                <c:pt idx="41">
                  <c:v>9500000</c:v>
                </c:pt>
                <c:pt idx="42">
                  <c:v>42000000</c:v>
                </c:pt>
                <c:pt idx="43">
                  <c:v>21000000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350528"/>
        <c:axId val="133357952"/>
      </c:scatterChart>
      <c:valAx>
        <c:axId val="133350528"/>
        <c:scaling>
          <c:orientation val="minMax"/>
          <c:max val="3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Years After 1970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57952"/>
        <c:crosses val="autoZero"/>
        <c:crossBetween val="midCat"/>
        <c:majorUnit val="5"/>
      </c:valAx>
      <c:valAx>
        <c:axId val="1333579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Transitor Count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1.0288065843621399E-2"/>
              <c:y val="0.342819881031549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50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571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9"/>
          </c:marker>
          <c:xVal>
            <c:numRef>
              <c:f>Intercept!$C$6:$C$26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  <c:pt idx="13">
                  <c:v>9</c:v>
                </c:pt>
                <c:pt idx="14">
                  <c:v>10</c:v>
                </c:pt>
                <c:pt idx="15">
                  <c:v>6</c:v>
                </c:pt>
                <c:pt idx="16">
                  <c:v>6</c:v>
                </c:pt>
                <c:pt idx="17">
                  <c:v>2</c:v>
                </c:pt>
                <c:pt idx="18">
                  <c:v>8</c:v>
                </c:pt>
                <c:pt idx="19">
                  <c:v>4</c:v>
                </c:pt>
                <c:pt idx="20">
                  <c:v>3</c:v>
                </c:pt>
              </c:numCache>
            </c:numRef>
          </c:xVal>
          <c:yVal>
            <c:numRef>
              <c:f>Intercept!$D$6:$D$26</c:f>
              <c:numCache>
                <c:formatCode>General</c:formatCode>
                <c:ptCount val="21"/>
                <c:pt idx="0">
                  <c:v>29</c:v>
                </c:pt>
                <c:pt idx="1">
                  <c:v>36</c:v>
                </c:pt>
                <c:pt idx="2">
                  <c:v>53</c:v>
                </c:pt>
                <c:pt idx="3">
                  <c:v>50</c:v>
                </c:pt>
                <c:pt idx="4">
                  <c:v>22</c:v>
                </c:pt>
                <c:pt idx="5">
                  <c:v>29</c:v>
                </c:pt>
                <c:pt idx="6">
                  <c:v>61</c:v>
                </c:pt>
                <c:pt idx="7">
                  <c:v>61</c:v>
                </c:pt>
                <c:pt idx="8">
                  <c:v>24</c:v>
                </c:pt>
                <c:pt idx="9">
                  <c:v>22</c:v>
                </c:pt>
                <c:pt idx="10">
                  <c:v>30</c:v>
                </c:pt>
                <c:pt idx="11">
                  <c:v>44</c:v>
                </c:pt>
                <c:pt idx="12">
                  <c:v>53</c:v>
                </c:pt>
                <c:pt idx="13">
                  <c:v>68</c:v>
                </c:pt>
                <c:pt idx="14">
                  <c:v>70</c:v>
                </c:pt>
                <c:pt idx="15">
                  <c:v>54</c:v>
                </c:pt>
                <c:pt idx="16">
                  <c:v>51</c:v>
                </c:pt>
                <c:pt idx="17">
                  <c:v>32</c:v>
                </c:pt>
                <c:pt idx="18">
                  <c:v>58</c:v>
                </c:pt>
                <c:pt idx="19">
                  <c:v>40</c:v>
                </c:pt>
                <c:pt idx="20">
                  <c:v>30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03072"/>
        <c:axId val="142404608"/>
      </c:scatterChart>
      <c:valAx>
        <c:axId val="142403072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42404608"/>
        <c:crosses val="autoZero"/>
        <c:crossBetween val="midCat"/>
      </c:valAx>
      <c:valAx>
        <c:axId val="142404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42403072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38100"/>
            </c:spPr>
            <c:trendlineType val="linear"/>
            <c:dispRSqr val="0"/>
            <c:dispEq val="1"/>
            <c:trendlineLbl>
              <c:layout>
                <c:manualLayout>
                  <c:x val="-4.2034823710150111E-2"/>
                  <c:y val="0.16894139726610718"/>
                </c:manualLayout>
              </c:layout>
              <c:numFmt formatCode="#,##0.00" sourceLinked="0"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</c:trendlineLbl>
          </c:trendline>
          <c:xVal>
            <c:numRef>
              <c:f>Intercept!$C$6:$C$26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  <c:pt idx="13">
                  <c:v>9</c:v>
                </c:pt>
                <c:pt idx="14">
                  <c:v>10</c:v>
                </c:pt>
                <c:pt idx="15">
                  <c:v>6</c:v>
                </c:pt>
                <c:pt idx="16">
                  <c:v>6</c:v>
                </c:pt>
                <c:pt idx="17">
                  <c:v>2</c:v>
                </c:pt>
                <c:pt idx="18">
                  <c:v>8</c:v>
                </c:pt>
                <c:pt idx="19">
                  <c:v>4</c:v>
                </c:pt>
                <c:pt idx="20">
                  <c:v>3</c:v>
                </c:pt>
              </c:numCache>
            </c:numRef>
          </c:xVal>
          <c:yVal>
            <c:numRef>
              <c:f>Intercept!$D$6:$D$26</c:f>
              <c:numCache>
                <c:formatCode>General</c:formatCode>
                <c:ptCount val="21"/>
                <c:pt idx="0">
                  <c:v>29</c:v>
                </c:pt>
                <c:pt idx="1">
                  <c:v>36</c:v>
                </c:pt>
                <c:pt idx="2">
                  <c:v>53</c:v>
                </c:pt>
                <c:pt idx="3">
                  <c:v>50</c:v>
                </c:pt>
                <c:pt idx="4">
                  <c:v>22</c:v>
                </c:pt>
                <c:pt idx="5">
                  <c:v>29</c:v>
                </c:pt>
                <c:pt idx="6">
                  <c:v>61</c:v>
                </c:pt>
                <c:pt idx="7">
                  <c:v>61</c:v>
                </c:pt>
                <c:pt idx="8">
                  <c:v>24</c:v>
                </c:pt>
                <c:pt idx="9">
                  <c:v>22</c:v>
                </c:pt>
                <c:pt idx="10">
                  <c:v>30</c:v>
                </c:pt>
                <c:pt idx="11">
                  <c:v>44</c:v>
                </c:pt>
                <c:pt idx="12">
                  <c:v>53</c:v>
                </c:pt>
                <c:pt idx="13">
                  <c:v>68</c:v>
                </c:pt>
                <c:pt idx="14">
                  <c:v>70</c:v>
                </c:pt>
                <c:pt idx="15">
                  <c:v>54</c:v>
                </c:pt>
                <c:pt idx="16">
                  <c:v>51</c:v>
                </c:pt>
                <c:pt idx="17">
                  <c:v>32</c:v>
                </c:pt>
                <c:pt idx="18">
                  <c:v>58</c:v>
                </c:pt>
                <c:pt idx="19">
                  <c:v>40</c:v>
                </c:pt>
                <c:pt idx="20">
                  <c:v>30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7"/>
          </c:marker>
          <c:trendline>
            <c:spPr>
              <a:ln w="44450"/>
            </c:spPr>
            <c:trendlineType val="linear"/>
            <c:dispRSqr val="0"/>
            <c:dispEq val="1"/>
            <c:trendlineLbl>
              <c:layout>
                <c:manualLayout>
                  <c:x val="-3.0949195964656923E-2"/>
                  <c:y val="0.15624193484757182"/>
                </c:manualLayout>
              </c:layout>
              <c:numFmt formatCode="#,##0.00" sourceLinked="0"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</c:trendlineLbl>
          </c:trendline>
          <c:xVal>
            <c:numRef>
              <c:f>Intercept!$C$6:$C$26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  <c:pt idx="13">
                  <c:v>9</c:v>
                </c:pt>
                <c:pt idx="14">
                  <c:v>10</c:v>
                </c:pt>
                <c:pt idx="15">
                  <c:v>6</c:v>
                </c:pt>
                <c:pt idx="16">
                  <c:v>6</c:v>
                </c:pt>
                <c:pt idx="17">
                  <c:v>2</c:v>
                </c:pt>
                <c:pt idx="18">
                  <c:v>8</c:v>
                </c:pt>
                <c:pt idx="19">
                  <c:v>4</c:v>
                </c:pt>
                <c:pt idx="20">
                  <c:v>3</c:v>
                </c:pt>
              </c:numCache>
            </c:numRef>
          </c:xVal>
          <c:yVal>
            <c:numRef>
              <c:f>Intercept!$E$6:$E$26</c:f>
              <c:numCache>
                <c:formatCode>General</c:formatCode>
                <c:ptCount val="21"/>
                <c:pt idx="0">
                  <c:v>129</c:v>
                </c:pt>
                <c:pt idx="1">
                  <c:v>136</c:v>
                </c:pt>
                <c:pt idx="2">
                  <c:v>153</c:v>
                </c:pt>
                <c:pt idx="3">
                  <c:v>150</c:v>
                </c:pt>
                <c:pt idx="4">
                  <c:v>122</c:v>
                </c:pt>
                <c:pt idx="5">
                  <c:v>129</c:v>
                </c:pt>
                <c:pt idx="6">
                  <c:v>161</c:v>
                </c:pt>
                <c:pt idx="7">
                  <c:v>161</c:v>
                </c:pt>
                <c:pt idx="8">
                  <c:v>124</c:v>
                </c:pt>
                <c:pt idx="9">
                  <c:v>122</c:v>
                </c:pt>
                <c:pt idx="10">
                  <c:v>130</c:v>
                </c:pt>
                <c:pt idx="11">
                  <c:v>144</c:v>
                </c:pt>
                <c:pt idx="12">
                  <c:v>153</c:v>
                </c:pt>
                <c:pt idx="13">
                  <c:v>168</c:v>
                </c:pt>
                <c:pt idx="14">
                  <c:v>170</c:v>
                </c:pt>
                <c:pt idx="15">
                  <c:v>154</c:v>
                </c:pt>
                <c:pt idx="16">
                  <c:v>151</c:v>
                </c:pt>
                <c:pt idx="17">
                  <c:v>132</c:v>
                </c:pt>
                <c:pt idx="18">
                  <c:v>158</c:v>
                </c:pt>
                <c:pt idx="19">
                  <c:v>140</c:v>
                </c:pt>
                <c:pt idx="20">
                  <c:v>130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08864"/>
        <c:axId val="142310400"/>
      </c:scatterChart>
      <c:valAx>
        <c:axId val="14230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310400"/>
        <c:crosses val="autoZero"/>
        <c:crossBetween val="midCat"/>
      </c:valAx>
      <c:valAx>
        <c:axId val="142310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42308864"/>
        <c:crosses val="autoZero"/>
        <c:crossBetween val="midCat"/>
      </c:valAx>
    </c:plotArea>
    <c:plotVisOnly val="1"/>
    <c:dispBlanksAs val="gap"/>
    <c:showDLblsOverMax val="0"/>
  </c:chart>
  <c:spPr>
    <a:ln w="571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38100"/>
            </c:spPr>
            <c:trendlineType val="linear"/>
            <c:intercept val="0"/>
            <c:dispRSqr val="0"/>
            <c:dispEq val="1"/>
            <c:trendlineLbl>
              <c:layout>
                <c:manualLayout>
                  <c:x val="-4.2034823710150111E-2"/>
                  <c:y val="0.16894139726610718"/>
                </c:manualLayout>
              </c:layout>
              <c:numFmt formatCode="#,##0.00" sourceLinked="0"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</c:trendlineLbl>
          </c:trendline>
          <c:xVal>
            <c:numRef>
              <c:f>Intercept!$C$6:$C$26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  <c:pt idx="13">
                  <c:v>9</c:v>
                </c:pt>
                <c:pt idx="14">
                  <c:v>10</c:v>
                </c:pt>
                <c:pt idx="15">
                  <c:v>6</c:v>
                </c:pt>
                <c:pt idx="16">
                  <c:v>6</c:v>
                </c:pt>
                <c:pt idx="17">
                  <c:v>2</c:v>
                </c:pt>
                <c:pt idx="18">
                  <c:v>8</c:v>
                </c:pt>
                <c:pt idx="19">
                  <c:v>4</c:v>
                </c:pt>
                <c:pt idx="20">
                  <c:v>3</c:v>
                </c:pt>
              </c:numCache>
            </c:numRef>
          </c:xVal>
          <c:yVal>
            <c:numRef>
              <c:f>Intercept!$D$6:$D$26</c:f>
              <c:numCache>
                <c:formatCode>General</c:formatCode>
                <c:ptCount val="21"/>
                <c:pt idx="0">
                  <c:v>29</c:v>
                </c:pt>
                <c:pt idx="1">
                  <c:v>36</c:v>
                </c:pt>
                <c:pt idx="2">
                  <c:v>53</c:v>
                </c:pt>
                <c:pt idx="3">
                  <c:v>50</c:v>
                </c:pt>
                <c:pt idx="4">
                  <c:v>22</c:v>
                </c:pt>
                <c:pt idx="5">
                  <c:v>29</c:v>
                </c:pt>
                <c:pt idx="6">
                  <c:v>61</c:v>
                </c:pt>
                <c:pt idx="7">
                  <c:v>61</c:v>
                </c:pt>
                <c:pt idx="8">
                  <c:v>24</c:v>
                </c:pt>
                <c:pt idx="9">
                  <c:v>22</c:v>
                </c:pt>
                <c:pt idx="10">
                  <c:v>30</c:v>
                </c:pt>
                <c:pt idx="11">
                  <c:v>44</c:v>
                </c:pt>
                <c:pt idx="12">
                  <c:v>53</c:v>
                </c:pt>
                <c:pt idx="13">
                  <c:v>68</c:v>
                </c:pt>
                <c:pt idx="14">
                  <c:v>70</c:v>
                </c:pt>
                <c:pt idx="15">
                  <c:v>54</c:v>
                </c:pt>
                <c:pt idx="16">
                  <c:v>51</c:v>
                </c:pt>
                <c:pt idx="17">
                  <c:v>32</c:v>
                </c:pt>
                <c:pt idx="18">
                  <c:v>58</c:v>
                </c:pt>
                <c:pt idx="19">
                  <c:v>40</c:v>
                </c:pt>
                <c:pt idx="20">
                  <c:v>30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7"/>
          </c:marker>
          <c:trendline>
            <c:spPr>
              <a:ln w="44450"/>
            </c:spPr>
            <c:trendlineType val="linear"/>
            <c:intercept val="0"/>
            <c:dispRSqr val="0"/>
            <c:dispEq val="1"/>
            <c:trendlineLbl>
              <c:layout>
                <c:manualLayout>
                  <c:x val="-3.6256331137302485E-2"/>
                  <c:y val="0.29264596627189016"/>
                </c:manualLayout>
              </c:layout>
              <c:numFmt formatCode="#,##0.00" sourceLinked="0"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</c:trendlineLbl>
          </c:trendline>
          <c:xVal>
            <c:numRef>
              <c:f>Intercept!$C$6:$C$26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  <c:pt idx="13">
                  <c:v>9</c:v>
                </c:pt>
                <c:pt idx="14">
                  <c:v>10</c:v>
                </c:pt>
                <c:pt idx="15">
                  <c:v>6</c:v>
                </c:pt>
                <c:pt idx="16">
                  <c:v>6</c:v>
                </c:pt>
                <c:pt idx="17">
                  <c:v>2</c:v>
                </c:pt>
                <c:pt idx="18">
                  <c:v>8</c:v>
                </c:pt>
                <c:pt idx="19">
                  <c:v>4</c:v>
                </c:pt>
                <c:pt idx="20">
                  <c:v>3</c:v>
                </c:pt>
              </c:numCache>
            </c:numRef>
          </c:xVal>
          <c:yVal>
            <c:numRef>
              <c:f>Intercept!$E$6:$E$26</c:f>
              <c:numCache>
                <c:formatCode>General</c:formatCode>
                <c:ptCount val="21"/>
                <c:pt idx="0">
                  <c:v>129</c:v>
                </c:pt>
                <c:pt idx="1">
                  <c:v>136</c:v>
                </c:pt>
                <c:pt idx="2">
                  <c:v>153</c:v>
                </c:pt>
                <c:pt idx="3">
                  <c:v>150</c:v>
                </c:pt>
                <c:pt idx="4">
                  <c:v>122</c:v>
                </c:pt>
                <c:pt idx="5">
                  <c:v>129</c:v>
                </c:pt>
                <c:pt idx="6">
                  <c:v>161</c:v>
                </c:pt>
                <c:pt idx="7">
                  <c:v>161</c:v>
                </c:pt>
                <c:pt idx="8">
                  <c:v>124</c:v>
                </c:pt>
                <c:pt idx="9">
                  <c:v>122</c:v>
                </c:pt>
                <c:pt idx="10">
                  <c:v>130</c:v>
                </c:pt>
                <c:pt idx="11">
                  <c:v>144</c:v>
                </c:pt>
                <c:pt idx="12">
                  <c:v>153</c:v>
                </c:pt>
                <c:pt idx="13">
                  <c:v>168</c:v>
                </c:pt>
                <c:pt idx="14">
                  <c:v>170</c:v>
                </c:pt>
                <c:pt idx="15">
                  <c:v>154</c:v>
                </c:pt>
                <c:pt idx="16">
                  <c:v>151</c:v>
                </c:pt>
                <c:pt idx="17">
                  <c:v>132</c:v>
                </c:pt>
                <c:pt idx="18">
                  <c:v>158</c:v>
                </c:pt>
                <c:pt idx="19">
                  <c:v>140</c:v>
                </c:pt>
                <c:pt idx="20">
                  <c:v>130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872832"/>
        <c:axId val="150874368"/>
      </c:scatterChart>
      <c:valAx>
        <c:axId val="15087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0874368"/>
        <c:crosses val="autoZero"/>
        <c:crossBetween val="midCat"/>
      </c:valAx>
      <c:valAx>
        <c:axId val="150874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50872832"/>
        <c:crosses val="autoZero"/>
        <c:crossBetween val="midCat"/>
      </c:valAx>
    </c:plotArea>
    <c:plotVisOnly val="1"/>
    <c:dispBlanksAs val="gap"/>
    <c:showDLblsOverMax val="0"/>
  </c:chart>
  <c:spPr>
    <a:ln w="571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chemeClr val="tx2"/>
              </a:solidFill>
            </c:spPr>
          </c:marker>
          <c:trendline>
            <c:spPr>
              <a:ln w="44450"/>
            </c:spPr>
            <c:trendlineType val="linear"/>
            <c:dispRSqr val="0"/>
            <c:dispEq val="1"/>
            <c:trendlineLbl>
              <c:layout>
                <c:manualLayout>
                  <c:x val="-4.9109787980037997E-2"/>
                  <c:y val="0.33505286258488376"/>
                </c:manualLayout>
              </c:layout>
              <c:numFmt formatCode="#,##0.00" sourceLinked="0"/>
              <c:txPr>
                <a:bodyPr/>
                <a:lstStyle/>
                <a:p>
                  <a:pPr>
                    <a:defRPr sz="1600"/>
                  </a:pPr>
                  <a:endParaRPr lang="en-US"/>
                </a:p>
              </c:txPr>
            </c:trendlineLbl>
          </c:trendline>
          <c:xVal>
            <c:numRef>
              <c:f>Residual!$D$11:$D$31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  <c:pt idx="13">
                  <c:v>9</c:v>
                </c:pt>
                <c:pt idx="14">
                  <c:v>10</c:v>
                </c:pt>
                <c:pt idx="15">
                  <c:v>6</c:v>
                </c:pt>
                <c:pt idx="16">
                  <c:v>6</c:v>
                </c:pt>
                <c:pt idx="17">
                  <c:v>2</c:v>
                </c:pt>
                <c:pt idx="18">
                  <c:v>8</c:v>
                </c:pt>
                <c:pt idx="19">
                  <c:v>4</c:v>
                </c:pt>
                <c:pt idx="20">
                  <c:v>3</c:v>
                </c:pt>
              </c:numCache>
            </c:numRef>
          </c:xVal>
          <c:yVal>
            <c:numRef>
              <c:f>Residual!$E$11:$E$31</c:f>
              <c:numCache>
                <c:formatCode>General</c:formatCode>
                <c:ptCount val="21"/>
                <c:pt idx="0">
                  <c:v>27</c:v>
                </c:pt>
                <c:pt idx="1">
                  <c:v>35</c:v>
                </c:pt>
                <c:pt idx="2">
                  <c:v>51</c:v>
                </c:pt>
                <c:pt idx="3">
                  <c:v>50</c:v>
                </c:pt>
                <c:pt idx="4">
                  <c:v>24</c:v>
                </c:pt>
                <c:pt idx="5">
                  <c:v>32</c:v>
                </c:pt>
                <c:pt idx="6">
                  <c:v>59</c:v>
                </c:pt>
                <c:pt idx="7">
                  <c:v>64</c:v>
                </c:pt>
                <c:pt idx="8">
                  <c:v>23</c:v>
                </c:pt>
                <c:pt idx="9">
                  <c:v>19</c:v>
                </c:pt>
                <c:pt idx="10">
                  <c:v>28</c:v>
                </c:pt>
                <c:pt idx="11">
                  <c:v>43</c:v>
                </c:pt>
                <c:pt idx="12">
                  <c:v>56</c:v>
                </c:pt>
                <c:pt idx="13">
                  <c:v>69</c:v>
                </c:pt>
                <c:pt idx="14">
                  <c:v>72</c:v>
                </c:pt>
                <c:pt idx="15">
                  <c:v>54</c:v>
                </c:pt>
                <c:pt idx="16">
                  <c:v>52</c:v>
                </c:pt>
                <c:pt idx="17">
                  <c:v>34</c:v>
                </c:pt>
                <c:pt idx="18">
                  <c:v>58</c:v>
                </c:pt>
                <c:pt idx="19">
                  <c:v>39</c:v>
                </c:pt>
                <c:pt idx="20">
                  <c:v>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518144"/>
        <c:axId val="142519680"/>
      </c:scatterChart>
      <c:valAx>
        <c:axId val="14251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519680"/>
        <c:crosses val="autoZero"/>
        <c:crossBetween val="midCat"/>
      </c:valAx>
      <c:valAx>
        <c:axId val="142519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251814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571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chemeClr val="tx2"/>
              </a:solidFill>
            </c:spPr>
          </c:marker>
          <c:xVal>
            <c:numRef>
              <c:f>Residual!$D$11:$D$31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  <c:pt idx="13">
                  <c:v>9</c:v>
                </c:pt>
                <c:pt idx="14">
                  <c:v>10</c:v>
                </c:pt>
                <c:pt idx="15">
                  <c:v>6</c:v>
                </c:pt>
                <c:pt idx="16">
                  <c:v>6</c:v>
                </c:pt>
                <c:pt idx="17">
                  <c:v>2</c:v>
                </c:pt>
                <c:pt idx="18">
                  <c:v>8</c:v>
                </c:pt>
                <c:pt idx="19">
                  <c:v>4</c:v>
                </c:pt>
                <c:pt idx="20">
                  <c:v>3</c:v>
                </c:pt>
              </c:numCache>
            </c:numRef>
          </c:xVal>
          <c:yVal>
            <c:numRef>
              <c:f>Residual!$G$11:$G$31</c:f>
              <c:numCache>
                <c:formatCode>General</c:formatCode>
                <c:ptCount val="21"/>
                <c:pt idx="0">
                  <c:v>10.695422535211268</c:v>
                </c:pt>
                <c:pt idx="1">
                  <c:v>18.695422535211268</c:v>
                </c:pt>
                <c:pt idx="2">
                  <c:v>18.390845070422536</c:v>
                </c:pt>
                <c:pt idx="3">
                  <c:v>17.390845070422536</c:v>
                </c:pt>
                <c:pt idx="4">
                  <c:v>18.565140845070424</c:v>
                </c:pt>
                <c:pt idx="5">
                  <c:v>26.565140845070424</c:v>
                </c:pt>
                <c:pt idx="6">
                  <c:v>10.086267605633807</c:v>
                </c:pt>
                <c:pt idx="7">
                  <c:v>25.95598591549296</c:v>
                </c:pt>
                <c:pt idx="8">
                  <c:v>12.130281690140846</c:v>
                </c:pt>
                <c:pt idx="9">
                  <c:v>13.565140845070424</c:v>
                </c:pt>
                <c:pt idx="10">
                  <c:v>17.130281690140848</c:v>
                </c:pt>
                <c:pt idx="11">
                  <c:v>21.260563380281692</c:v>
                </c:pt>
                <c:pt idx="12">
                  <c:v>23.390845070422536</c:v>
                </c:pt>
                <c:pt idx="13">
                  <c:v>20.086267605633807</c:v>
                </c:pt>
                <c:pt idx="14">
                  <c:v>17.651408450704231</c:v>
                </c:pt>
                <c:pt idx="15">
                  <c:v>21.390845070422536</c:v>
                </c:pt>
                <c:pt idx="16">
                  <c:v>19.390845070422536</c:v>
                </c:pt>
                <c:pt idx="17">
                  <c:v>23.130281690140848</c:v>
                </c:pt>
                <c:pt idx="18">
                  <c:v>14.521126760563384</c:v>
                </c:pt>
                <c:pt idx="19">
                  <c:v>17.260563380281692</c:v>
                </c:pt>
                <c:pt idx="20">
                  <c:v>11.695422535211268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Residual!$I$11:$I$12</c:f>
              <c:strCache>
                <c:ptCount val="1"/>
                <c:pt idx="0">
                  <c:v>0 10</c:v>
                </c:pt>
              </c:strCache>
            </c:strRef>
          </c:tx>
          <c:spPr>
            <a:ln w="444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Residual!$I$11:$I$12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Residual!$J$11:$J$12</c:f>
              <c:numCache>
                <c:formatCode>General</c:formatCode>
                <c:ptCount val="2"/>
                <c:pt idx="0">
                  <c:v>0</c:v>
                </c:pt>
                <c:pt idx="1">
                  <c:v>54.348591549295769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55520"/>
        <c:axId val="145761408"/>
      </c:scatterChart>
      <c:valAx>
        <c:axId val="14575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761408"/>
        <c:crosses val="autoZero"/>
        <c:crossBetween val="midCat"/>
      </c:valAx>
      <c:valAx>
        <c:axId val="145761408"/>
        <c:scaling>
          <c:orientation val="minMax"/>
          <c:max val="80"/>
        </c:scaling>
        <c:delete val="0"/>
        <c:axPos val="l"/>
        <c:numFmt formatCode="General" sourceLinked="1"/>
        <c:majorTickMark val="out"/>
        <c:minorTickMark val="none"/>
        <c:tickLblPos val="nextTo"/>
        <c:crossAx val="1457555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571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chemeClr val="tx2"/>
              </a:solidFill>
            </c:spPr>
          </c:marker>
          <c:trendline>
            <c:spPr>
              <a:ln w="44450"/>
            </c:spPr>
            <c:trendlineType val="linear"/>
            <c:dispRSqr val="1"/>
            <c:dispEq val="1"/>
            <c:trendlineLbl>
              <c:layout>
                <c:manualLayout>
                  <c:x val="-0.20309390267684904"/>
                  <c:y val="0.1080954393147293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600"/>
                  </a:pPr>
                  <a:endParaRPr lang="en-US"/>
                </a:p>
              </c:txPr>
            </c:trendlineLbl>
          </c:trendline>
          <c:xVal>
            <c:numRef>
              <c:f>Residual!$D$11:$D$31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  <c:pt idx="13">
                  <c:v>9</c:v>
                </c:pt>
                <c:pt idx="14">
                  <c:v>10</c:v>
                </c:pt>
                <c:pt idx="15">
                  <c:v>6</c:v>
                </c:pt>
                <c:pt idx="16">
                  <c:v>6</c:v>
                </c:pt>
                <c:pt idx="17">
                  <c:v>2</c:v>
                </c:pt>
                <c:pt idx="18">
                  <c:v>8</c:v>
                </c:pt>
                <c:pt idx="19">
                  <c:v>4</c:v>
                </c:pt>
                <c:pt idx="20">
                  <c:v>3</c:v>
                </c:pt>
              </c:numCache>
            </c:numRef>
          </c:xVal>
          <c:yVal>
            <c:numRef>
              <c:f>Residual!$G$11:$G$31</c:f>
              <c:numCache>
                <c:formatCode>General</c:formatCode>
                <c:ptCount val="21"/>
                <c:pt idx="0">
                  <c:v>10.695422535211268</c:v>
                </c:pt>
                <c:pt idx="1">
                  <c:v>18.695422535211268</c:v>
                </c:pt>
                <c:pt idx="2">
                  <c:v>18.390845070422536</c:v>
                </c:pt>
                <c:pt idx="3">
                  <c:v>17.390845070422536</c:v>
                </c:pt>
                <c:pt idx="4">
                  <c:v>18.565140845070424</c:v>
                </c:pt>
                <c:pt idx="5">
                  <c:v>26.565140845070424</c:v>
                </c:pt>
                <c:pt idx="6">
                  <c:v>10.086267605633807</c:v>
                </c:pt>
                <c:pt idx="7">
                  <c:v>25.95598591549296</c:v>
                </c:pt>
                <c:pt idx="8">
                  <c:v>12.130281690140846</c:v>
                </c:pt>
                <c:pt idx="9">
                  <c:v>13.565140845070424</c:v>
                </c:pt>
                <c:pt idx="10">
                  <c:v>17.130281690140848</c:v>
                </c:pt>
                <c:pt idx="11">
                  <c:v>21.260563380281692</c:v>
                </c:pt>
                <c:pt idx="12">
                  <c:v>23.390845070422536</c:v>
                </c:pt>
                <c:pt idx="13">
                  <c:v>20.086267605633807</c:v>
                </c:pt>
                <c:pt idx="14">
                  <c:v>17.651408450704231</c:v>
                </c:pt>
                <c:pt idx="15">
                  <c:v>21.390845070422536</c:v>
                </c:pt>
                <c:pt idx="16">
                  <c:v>19.390845070422536</c:v>
                </c:pt>
                <c:pt idx="17">
                  <c:v>23.130281690140848</c:v>
                </c:pt>
                <c:pt idx="18">
                  <c:v>14.521126760563384</c:v>
                </c:pt>
                <c:pt idx="19">
                  <c:v>17.260563380281692</c:v>
                </c:pt>
                <c:pt idx="20">
                  <c:v>11.695422535211268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94176"/>
        <c:axId val="145795712"/>
      </c:scatterChart>
      <c:valAx>
        <c:axId val="14579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795712"/>
        <c:crosses val="autoZero"/>
        <c:crossBetween val="midCat"/>
      </c:valAx>
      <c:valAx>
        <c:axId val="145795712"/>
        <c:scaling>
          <c:orientation val="minMax"/>
          <c:max val="40"/>
        </c:scaling>
        <c:delete val="0"/>
        <c:axPos val="l"/>
        <c:numFmt formatCode="General" sourceLinked="1"/>
        <c:majorTickMark val="out"/>
        <c:minorTickMark val="none"/>
        <c:tickLblPos val="nextTo"/>
        <c:crossAx val="1457941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571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Penalty Term vs k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486186450256922"/>
          <c:y val="0.13996098963939163"/>
          <c:w val="0.76095696622115738"/>
          <c:h val="0.71313855028796647"/>
        </c:manualLayout>
      </c:layout>
      <c:scatterChart>
        <c:scatterStyle val="smoothMarker"/>
        <c:varyColors val="0"/>
        <c:ser>
          <c:idx val="0"/>
          <c:order val="0"/>
          <c:spPr>
            <a:ln w="63500"/>
          </c:spPr>
          <c:marker>
            <c:symbol val="none"/>
          </c:marker>
          <c:xVal>
            <c:numRef>
              <c:f>'Adjusted R2'!$B$15:$B$112</c:f>
              <c:numCache>
                <c:formatCode>General</c:formatCode>
                <c:ptCount val="9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</c:numCache>
            </c:numRef>
          </c:xVal>
          <c:yVal>
            <c:numRef>
              <c:f>'Adjusted R2'!$C$15:$C$112</c:f>
              <c:numCache>
                <c:formatCode>0.00</c:formatCode>
                <c:ptCount val="98"/>
                <c:pt idx="0">
                  <c:v>1.020408163265306E-2</c:v>
                </c:pt>
                <c:pt idx="1">
                  <c:v>2.0618556701030927E-2</c:v>
                </c:pt>
                <c:pt idx="2">
                  <c:v>3.125E-2</c:v>
                </c:pt>
                <c:pt idx="3">
                  <c:v>4.2105263157894736E-2</c:v>
                </c:pt>
                <c:pt idx="4">
                  <c:v>5.3191489361702128E-2</c:v>
                </c:pt>
                <c:pt idx="5">
                  <c:v>6.4516129032258063E-2</c:v>
                </c:pt>
                <c:pt idx="6">
                  <c:v>7.6086956521739135E-2</c:v>
                </c:pt>
                <c:pt idx="7">
                  <c:v>8.7912087912087919E-2</c:v>
                </c:pt>
                <c:pt idx="8">
                  <c:v>0.1</c:v>
                </c:pt>
                <c:pt idx="9">
                  <c:v>0.11235955056179775</c:v>
                </c:pt>
                <c:pt idx="10">
                  <c:v>0.125</c:v>
                </c:pt>
                <c:pt idx="11">
                  <c:v>0.13793103448275862</c:v>
                </c:pt>
                <c:pt idx="12">
                  <c:v>0.15116279069767441</c:v>
                </c:pt>
                <c:pt idx="13">
                  <c:v>0.16470588235294117</c:v>
                </c:pt>
                <c:pt idx="14">
                  <c:v>0.17857142857142858</c:v>
                </c:pt>
                <c:pt idx="15">
                  <c:v>0.19277108433734941</c:v>
                </c:pt>
                <c:pt idx="16">
                  <c:v>0.2073170731707317</c:v>
                </c:pt>
                <c:pt idx="17">
                  <c:v>0.22222222222222221</c:v>
                </c:pt>
                <c:pt idx="18">
                  <c:v>0.23749999999999999</c:v>
                </c:pt>
                <c:pt idx="19">
                  <c:v>0.25316455696202533</c:v>
                </c:pt>
                <c:pt idx="20">
                  <c:v>0.26923076923076922</c:v>
                </c:pt>
                <c:pt idx="21">
                  <c:v>0.2857142857142857</c:v>
                </c:pt>
                <c:pt idx="22">
                  <c:v>0.30263157894736842</c:v>
                </c:pt>
                <c:pt idx="23">
                  <c:v>0.32</c:v>
                </c:pt>
                <c:pt idx="24">
                  <c:v>0.33783783783783783</c:v>
                </c:pt>
                <c:pt idx="25">
                  <c:v>0.35616438356164382</c:v>
                </c:pt>
                <c:pt idx="26">
                  <c:v>0.375</c:v>
                </c:pt>
                <c:pt idx="27">
                  <c:v>0.39436619718309857</c:v>
                </c:pt>
                <c:pt idx="28">
                  <c:v>0.41428571428571431</c:v>
                </c:pt>
                <c:pt idx="29">
                  <c:v>0.43478260869565216</c:v>
                </c:pt>
                <c:pt idx="30">
                  <c:v>0.45588235294117646</c:v>
                </c:pt>
                <c:pt idx="31">
                  <c:v>0.47761194029850745</c:v>
                </c:pt>
                <c:pt idx="32">
                  <c:v>0.5</c:v>
                </c:pt>
                <c:pt idx="33">
                  <c:v>0.52307692307692311</c:v>
                </c:pt>
                <c:pt idx="34">
                  <c:v>0.546875</c:v>
                </c:pt>
                <c:pt idx="35">
                  <c:v>0.5714285714285714</c:v>
                </c:pt>
                <c:pt idx="36">
                  <c:v>0.59677419354838712</c:v>
                </c:pt>
                <c:pt idx="37">
                  <c:v>0.62295081967213117</c:v>
                </c:pt>
                <c:pt idx="38">
                  <c:v>0.65</c:v>
                </c:pt>
                <c:pt idx="39">
                  <c:v>0.67796610169491522</c:v>
                </c:pt>
                <c:pt idx="40">
                  <c:v>0.7068965517241379</c:v>
                </c:pt>
                <c:pt idx="41">
                  <c:v>0.73684210526315785</c:v>
                </c:pt>
                <c:pt idx="42">
                  <c:v>0.7678571428571429</c:v>
                </c:pt>
                <c:pt idx="43">
                  <c:v>0.8</c:v>
                </c:pt>
                <c:pt idx="44">
                  <c:v>0.83333333333333337</c:v>
                </c:pt>
                <c:pt idx="45">
                  <c:v>0.86792452830188682</c:v>
                </c:pt>
                <c:pt idx="46">
                  <c:v>0.90384615384615385</c:v>
                </c:pt>
                <c:pt idx="47">
                  <c:v>0.94117647058823528</c:v>
                </c:pt>
                <c:pt idx="48">
                  <c:v>0.98</c:v>
                </c:pt>
                <c:pt idx="49">
                  <c:v>1.0204081632653061</c:v>
                </c:pt>
                <c:pt idx="50">
                  <c:v>1.0625</c:v>
                </c:pt>
                <c:pt idx="51">
                  <c:v>1.1063829787234043</c:v>
                </c:pt>
                <c:pt idx="52">
                  <c:v>1.1521739130434783</c:v>
                </c:pt>
                <c:pt idx="53">
                  <c:v>1.2</c:v>
                </c:pt>
                <c:pt idx="54">
                  <c:v>1.25</c:v>
                </c:pt>
                <c:pt idx="55">
                  <c:v>1.3023255813953489</c:v>
                </c:pt>
                <c:pt idx="56">
                  <c:v>1.3571428571428572</c:v>
                </c:pt>
                <c:pt idx="57">
                  <c:v>1.4146341463414633</c:v>
                </c:pt>
                <c:pt idx="58">
                  <c:v>1.4750000000000001</c:v>
                </c:pt>
                <c:pt idx="59">
                  <c:v>1.5384615384615385</c:v>
                </c:pt>
                <c:pt idx="60">
                  <c:v>1.6052631578947369</c:v>
                </c:pt>
                <c:pt idx="61">
                  <c:v>1.6756756756756757</c:v>
                </c:pt>
                <c:pt idx="62">
                  <c:v>1.75</c:v>
                </c:pt>
                <c:pt idx="63">
                  <c:v>1.8285714285714285</c:v>
                </c:pt>
                <c:pt idx="64">
                  <c:v>1.911764705882353</c:v>
                </c:pt>
                <c:pt idx="65">
                  <c:v>2</c:v>
                </c:pt>
                <c:pt idx="66">
                  <c:v>2.09375</c:v>
                </c:pt>
                <c:pt idx="67">
                  <c:v>2.193548387096774</c:v>
                </c:pt>
                <c:pt idx="68">
                  <c:v>2.2999999999999998</c:v>
                </c:pt>
                <c:pt idx="69">
                  <c:v>2.4137931034482758</c:v>
                </c:pt>
                <c:pt idx="70">
                  <c:v>2.5357142857142856</c:v>
                </c:pt>
                <c:pt idx="71">
                  <c:v>2.6666666666666665</c:v>
                </c:pt>
                <c:pt idx="72">
                  <c:v>2.8076923076923075</c:v>
                </c:pt>
                <c:pt idx="73">
                  <c:v>2.96</c:v>
                </c:pt>
                <c:pt idx="74">
                  <c:v>3.125</c:v>
                </c:pt>
                <c:pt idx="75">
                  <c:v>3.3043478260869565</c:v>
                </c:pt>
                <c:pt idx="76">
                  <c:v>3.5</c:v>
                </c:pt>
                <c:pt idx="77">
                  <c:v>3.7142857142857144</c:v>
                </c:pt>
                <c:pt idx="78">
                  <c:v>3.95</c:v>
                </c:pt>
                <c:pt idx="79">
                  <c:v>4.2105263157894735</c:v>
                </c:pt>
                <c:pt idx="80">
                  <c:v>4.5</c:v>
                </c:pt>
                <c:pt idx="81">
                  <c:v>4.8235294117647056</c:v>
                </c:pt>
                <c:pt idx="82">
                  <c:v>5.1875</c:v>
                </c:pt>
                <c:pt idx="83">
                  <c:v>5.6</c:v>
                </c:pt>
                <c:pt idx="84">
                  <c:v>6.0714285714285712</c:v>
                </c:pt>
                <c:pt idx="85">
                  <c:v>6.615384615384615</c:v>
                </c:pt>
                <c:pt idx="86">
                  <c:v>7.25</c:v>
                </c:pt>
                <c:pt idx="87">
                  <c:v>8</c:v>
                </c:pt>
                <c:pt idx="88">
                  <c:v>8.9</c:v>
                </c:pt>
                <c:pt idx="89">
                  <c:v>10</c:v>
                </c:pt>
                <c:pt idx="90">
                  <c:v>11.375</c:v>
                </c:pt>
                <c:pt idx="91">
                  <c:v>13.142857142857142</c:v>
                </c:pt>
                <c:pt idx="92">
                  <c:v>15.5</c:v>
                </c:pt>
                <c:pt idx="93">
                  <c:v>18.8</c:v>
                </c:pt>
                <c:pt idx="94">
                  <c:v>23.75</c:v>
                </c:pt>
                <c:pt idx="95">
                  <c:v>32</c:v>
                </c:pt>
                <c:pt idx="96">
                  <c:v>48.5</c:v>
                </c:pt>
                <c:pt idx="97">
                  <c:v>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182528"/>
        <c:axId val="148184448"/>
      </c:scatterChart>
      <c:valAx>
        <c:axId val="14818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Number Of Independent Variables - 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48184448"/>
        <c:crosses val="autoZero"/>
        <c:crossBetween val="midCat"/>
      </c:valAx>
      <c:valAx>
        <c:axId val="148184448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Penalty Term Value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48182528"/>
        <c:crosses val="autoZero"/>
        <c:crossBetween val="midCat"/>
        <c:majorUnit val="20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2" Type="http://schemas.openxmlformats.org/officeDocument/2006/relationships/chart" Target="../charts/chart9.xml"/><Relationship Id="rId16" Type="http://schemas.openxmlformats.org/officeDocument/2006/relationships/chart" Target="../charts/chart23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10" Type="http://schemas.openxmlformats.org/officeDocument/2006/relationships/chart" Target="../charts/chart17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171449</xdr:colOff>
      <xdr:row>8</xdr:row>
      <xdr:rowOff>114300</xdr:rowOff>
    </xdr:from>
    <xdr:to>
      <xdr:col>15</xdr:col>
      <xdr:colOff>238124</xdr:colOff>
      <xdr:row>30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249800</xdr:colOff>
      <xdr:row>19</xdr:row>
      <xdr:rowOff>3829</xdr:rowOff>
    </xdr:from>
    <xdr:to>
      <xdr:col>8</xdr:col>
      <xdr:colOff>149367</xdr:colOff>
      <xdr:row>37</xdr:row>
      <xdr:rowOff>99674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683558</xdr:colOff>
      <xdr:row>19</xdr:row>
      <xdr:rowOff>33617</xdr:rowOff>
    </xdr:from>
    <xdr:to>
      <xdr:col>17</xdr:col>
      <xdr:colOff>90066</xdr:colOff>
      <xdr:row>37</xdr:row>
      <xdr:rowOff>129462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222250</xdr:colOff>
      <xdr:row>39</xdr:row>
      <xdr:rowOff>134938</xdr:rowOff>
    </xdr:from>
    <xdr:to>
      <xdr:col>8</xdr:col>
      <xdr:colOff>121817</xdr:colOff>
      <xdr:row>58</xdr:row>
      <xdr:rowOff>40283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645583</xdr:colOff>
      <xdr:row>39</xdr:row>
      <xdr:rowOff>52917</xdr:rowOff>
    </xdr:from>
    <xdr:to>
      <xdr:col>17</xdr:col>
      <xdr:colOff>15984</xdr:colOff>
      <xdr:row>57</xdr:row>
      <xdr:rowOff>148762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279400</xdr:colOff>
      <xdr:row>4</xdr:row>
      <xdr:rowOff>82550</xdr:rowOff>
    </xdr:from>
    <xdr:to>
      <xdr:col>14</xdr:col>
      <xdr:colOff>390525</xdr:colOff>
      <xdr:row>20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206376</xdr:colOff>
      <xdr:row>5</xdr:row>
      <xdr:rowOff>112713</xdr:rowOff>
    </xdr:from>
    <xdr:to>
      <xdr:col>27</xdr:col>
      <xdr:colOff>500063</xdr:colOff>
      <xdr:row>20</xdr:row>
      <xdr:rowOff>129268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104172</xdr:colOff>
      <xdr:row>4</xdr:row>
      <xdr:rowOff>84173</xdr:rowOff>
    </xdr:from>
    <xdr:to>
      <xdr:col>66</xdr:col>
      <xdr:colOff>410482</xdr:colOff>
      <xdr:row>26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59</xdr:col>
      <xdr:colOff>147095</xdr:colOff>
      <xdr:row>26</xdr:row>
      <xdr:rowOff>119999</xdr:rowOff>
    </xdr:from>
    <xdr:to>
      <xdr:col>66</xdr:col>
      <xdr:colOff>451894</xdr:colOff>
      <xdr:row>48</xdr:row>
      <xdr:rowOff>53324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376464</xdr:colOff>
      <xdr:row>4</xdr:row>
      <xdr:rowOff>96497</xdr:rowOff>
    </xdr:from>
    <xdr:to>
      <xdr:col>59</xdr:col>
      <xdr:colOff>70152</xdr:colOff>
      <xdr:row>26</xdr:row>
      <xdr:rowOff>29822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51</xdr:col>
      <xdr:colOff>381000</xdr:colOff>
      <xdr:row>26</xdr:row>
      <xdr:rowOff>105833</xdr:rowOff>
    </xdr:from>
    <xdr:to>
      <xdr:col>59</xdr:col>
      <xdr:colOff>74689</xdr:colOff>
      <xdr:row>48</xdr:row>
      <xdr:rowOff>39158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356552</xdr:colOff>
      <xdr:row>4</xdr:row>
      <xdr:rowOff>4073</xdr:rowOff>
    </xdr:from>
    <xdr:to>
      <xdr:col>39</xdr:col>
      <xdr:colOff>50241</xdr:colOff>
      <xdr:row>25</xdr:row>
      <xdr:rowOff>127898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560293</xdr:colOff>
      <xdr:row>4</xdr:row>
      <xdr:rowOff>0</xdr:rowOff>
    </xdr:from>
    <xdr:to>
      <xdr:col>31</xdr:col>
      <xdr:colOff>253982</xdr:colOff>
      <xdr:row>25</xdr:row>
      <xdr:rowOff>123825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549089</xdr:colOff>
      <xdr:row>26</xdr:row>
      <xdr:rowOff>78440</xdr:rowOff>
    </xdr:from>
    <xdr:to>
      <xdr:col>31</xdr:col>
      <xdr:colOff>242778</xdr:colOff>
      <xdr:row>48</xdr:row>
      <xdr:rowOff>11765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358588</xdr:colOff>
      <xdr:row>26</xdr:row>
      <xdr:rowOff>89648</xdr:rowOff>
    </xdr:from>
    <xdr:to>
      <xdr:col>39</xdr:col>
      <xdr:colOff>52277</xdr:colOff>
      <xdr:row>48</xdr:row>
      <xdr:rowOff>22973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347382</xdr:colOff>
      <xdr:row>49</xdr:row>
      <xdr:rowOff>44823</xdr:rowOff>
    </xdr:from>
    <xdr:to>
      <xdr:col>39</xdr:col>
      <xdr:colOff>41071</xdr:colOff>
      <xdr:row>70</xdr:row>
      <xdr:rowOff>168648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526676</xdr:colOff>
      <xdr:row>49</xdr:row>
      <xdr:rowOff>44823</xdr:rowOff>
    </xdr:from>
    <xdr:to>
      <xdr:col>31</xdr:col>
      <xdr:colOff>220365</xdr:colOff>
      <xdr:row>70</xdr:row>
      <xdr:rowOff>168648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70</xdr:col>
      <xdr:colOff>381000</xdr:colOff>
      <xdr:row>4</xdr:row>
      <xdr:rowOff>156882</xdr:rowOff>
    </xdr:from>
    <xdr:to>
      <xdr:col>78</xdr:col>
      <xdr:colOff>82193</xdr:colOff>
      <xdr:row>26</xdr:row>
      <xdr:rowOff>120334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207818</xdr:colOff>
      <xdr:row>5</xdr:row>
      <xdr:rowOff>43295</xdr:rowOff>
    </xdr:from>
    <xdr:to>
      <xdr:col>88</xdr:col>
      <xdr:colOff>515148</xdr:colOff>
      <xdr:row>27</xdr:row>
      <xdr:rowOff>6747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93</xdr:col>
      <xdr:colOff>458931</xdr:colOff>
      <xdr:row>5</xdr:row>
      <xdr:rowOff>25977</xdr:rowOff>
    </xdr:from>
    <xdr:to>
      <xdr:col>101</xdr:col>
      <xdr:colOff>160125</xdr:colOff>
      <xdr:row>26</xdr:row>
      <xdr:rowOff>179929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105</xdr:col>
      <xdr:colOff>372341</xdr:colOff>
      <xdr:row>5</xdr:row>
      <xdr:rowOff>17318</xdr:rowOff>
    </xdr:from>
    <xdr:to>
      <xdr:col>113</xdr:col>
      <xdr:colOff>73534</xdr:colOff>
      <xdr:row>26</xdr:row>
      <xdr:rowOff>171270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116</xdr:col>
      <xdr:colOff>337704</xdr:colOff>
      <xdr:row>5</xdr:row>
      <xdr:rowOff>34637</xdr:rowOff>
    </xdr:from>
    <xdr:to>
      <xdr:col>124</xdr:col>
      <xdr:colOff>38897</xdr:colOff>
      <xdr:row>26</xdr:row>
      <xdr:rowOff>188589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128</xdr:col>
      <xdr:colOff>155863</xdr:colOff>
      <xdr:row>2</xdr:row>
      <xdr:rowOff>173182</xdr:rowOff>
    </xdr:from>
    <xdr:to>
      <xdr:col>135</xdr:col>
      <xdr:colOff>463193</xdr:colOff>
      <xdr:row>24</xdr:row>
      <xdr:rowOff>136634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40822</xdr:colOff>
      <xdr:row>38</xdr:row>
      <xdr:rowOff>77561</xdr:rowOff>
    </xdr:from>
    <xdr:to>
      <xdr:col>5</xdr:col>
      <xdr:colOff>823232</xdr:colOff>
      <xdr:row>56</xdr:row>
      <xdr:rowOff>136071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344714</xdr:colOff>
      <xdr:row>38</xdr:row>
      <xdr:rowOff>19872</xdr:rowOff>
    </xdr:from>
    <xdr:to>
      <xdr:col>22</xdr:col>
      <xdr:colOff>593179</xdr:colOff>
      <xdr:row>44</xdr:row>
      <xdr:rowOff>105833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0047" y="6814372"/>
          <a:ext cx="4598215" cy="1239544"/>
        </a:xfrm>
        <a:prstGeom prst="rect">
          <a:avLst/>
        </a:prstGeom>
      </xdr:spPr>
    </xdr:pic>
    <xdr:clientData/>
  </xdr:twoCellAnchor>
  <xdr:twoCellAnchor editAs="oneCell">
    <xdr:from>
      <xdr:col>16</xdr:col>
      <xdr:colOff>260350</xdr:colOff>
      <xdr:row>44</xdr:row>
      <xdr:rowOff>84804</xdr:rowOff>
    </xdr:from>
    <xdr:to>
      <xdr:col>24</xdr:col>
      <xdr:colOff>70981</xdr:colOff>
      <xdr:row>50</xdr:row>
      <xdr:rowOff>123623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09700" y="8019129"/>
          <a:ext cx="5763756" cy="11818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1283380</xdr:colOff>
      <xdr:row>8</xdr:row>
      <xdr:rowOff>235855</xdr:rowOff>
    </xdr:from>
    <xdr:to>
      <xdr:col>17</xdr:col>
      <xdr:colOff>14654</xdr:colOff>
      <xdr:row>24</xdr:row>
      <xdr:rowOff>168518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292602</xdr:colOff>
      <xdr:row>13</xdr:row>
      <xdr:rowOff>72868</xdr:rowOff>
    </xdr:from>
    <xdr:to>
      <xdr:col>11</xdr:col>
      <xdr:colOff>258585</xdr:colOff>
      <xdr:row>16</xdr:row>
      <xdr:rowOff>134100</xdr:rowOff>
    </xdr:to>
    <xdr:sp macro="" textlink="">
      <xdr:nvSpPr>
        <xdr:cNvPr id="3" name="TextBox 2"/>
        <xdr:cNvSpPr txBox="1"/>
      </xdr:nvSpPr>
      <xdr:spPr>
        <a:xfrm>
          <a:off x="7766064" y="3501868"/>
          <a:ext cx="1182252" cy="8232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Investment</a:t>
          </a:r>
          <a:r>
            <a:rPr lang="en-US" sz="1400" b="1" baseline="0"/>
            <a:t> B</a:t>
          </a:r>
        </a:p>
      </xdr:txBody>
    </xdr:sp>
    <xdr:clientData/>
  </xdr:twoCellAnchor>
  <xdr:twoCellAnchor>
    <xdr:from>
      <xdr:col>12</xdr:col>
      <xdr:colOff>27215</xdr:colOff>
      <xdr:row>9</xdr:row>
      <xdr:rowOff>159099</xdr:rowOff>
    </xdr:from>
    <xdr:to>
      <xdr:col>12</xdr:col>
      <xdr:colOff>204108</xdr:colOff>
      <xdr:row>10</xdr:row>
      <xdr:rowOff>125081</xdr:rowOff>
    </xdr:to>
    <xdr:cxnSp macro="">
      <xdr:nvCxnSpPr>
        <xdr:cNvPr id="5" name="Straight Arrow Connector 4"/>
        <xdr:cNvCxnSpPr/>
      </xdr:nvCxnSpPr>
      <xdr:spPr>
        <a:xfrm>
          <a:off x="9325080" y="2826099"/>
          <a:ext cx="176893" cy="156482"/>
        </a:xfrm>
        <a:prstGeom prst="straightConnector1">
          <a:avLst/>
        </a:prstGeom>
        <a:ln w="28575">
          <a:solidFill>
            <a:schemeClr val="accent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447467</xdr:colOff>
      <xdr:row>11</xdr:row>
      <xdr:rowOff>154913</xdr:rowOff>
    </xdr:from>
    <xdr:to>
      <xdr:col>13</xdr:col>
      <xdr:colOff>73269</xdr:colOff>
      <xdr:row>12</xdr:row>
      <xdr:rowOff>120894</xdr:rowOff>
    </xdr:to>
    <xdr:cxnSp macro="">
      <xdr:nvCxnSpPr>
        <xdr:cNvPr id="6" name="Straight Arrow Connector 5"/>
        <xdr:cNvCxnSpPr/>
      </xdr:nvCxnSpPr>
      <xdr:spPr>
        <a:xfrm flipH="1" flipV="1">
          <a:off x="9745332" y="3202913"/>
          <a:ext cx="233937" cy="156481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1197429</xdr:colOff>
      <xdr:row>27</xdr:row>
      <xdr:rowOff>0</xdr:rowOff>
    </xdr:from>
    <xdr:to>
      <xdr:col>16</xdr:col>
      <xdr:colOff>541024</xdr:colOff>
      <xdr:row>49</xdr:row>
      <xdr:rowOff>123163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0.80259</cdr:x>
      <cdr:y>0.27737</cdr:y>
    </cdr:from>
    <cdr:to>
      <cdr:x>1</cdr:x>
      <cdr:y>0.50161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4915198" y="1196613"/>
          <a:ext cx="1208941" cy="9674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Investment</a:t>
          </a:r>
          <a:r>
            <a:rPr lang="en-US" sz="1400" b="1" baseline="0"/>
            <a:t> A</a:t>
          </a:r>
        </a:p>
      </cdr:txBody>
    </cdr:sp>
  </cdr:relSizeAnchor>
  <cdr:relSizeAnchor xmlns:cdr="http://schemas.openxmlformats.org/drawingml/2006/chartDrawing">
    <cdr:from>
      <cdr:x>0.59902</cdr:x>
      <cdr:y>0.41228</cdr:y>
    </cdr:from>
    <cdr:to>
      <cdr:x>0.85821</cdr:x>
      <cdr:y>0.63652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668510" y="1778661"/>
          <a:ext cx="1587270" cy="9674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If returns were 100% correlated</a:t>
          </a:r>
          <a:endParaRPr lang="en-US" sz="1400" b="1" baseline="0"/>
        </a:p>
      </cdr:txBody>
    </cdr:sp>
  </cdr:relSizeAnchor>
  <cdr:relSizeAnchor xmlns:cdr="http://schemas.openxmlformats.org/drawingml/2006/chartDrawing">
    <cdr:from>
      <cdr:x>0.35746</cdr:x>
      <cdr:y>0.19444</cdr:y>
    </cdr:from>
    <cdr:to>
      <cdr:x>0.61664</cdr:x>
      <cdr:y>0.41868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189125" y="838838"/>
          <a:ext cx="1587269" cy="9674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2"/>
              </a:solidFill>
            </a:rPr>
            <a:t>If returns were 0% correlated</a:t>
          </a:r>
          <a:endParaRPr lang="en-US" sz="1400" b="1" baseline="0">
            <a:solidFill>
              <a:schemeClr val="accent2"/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0.80259</cdr:x>
      <cdr:y>0.27737</cdr:y>
    </cdr:from>
    <cdr:to>
      <cdr:x>1</cdr:x>
      <cdr:y>0.50161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4915198" y="1196613"/>
          <a:ext cx="1208941" cy="9674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Investment</a:t>
          </a:r>
          <a:r>
            <a:rPr lang="en-US" sz="1400" b="1" baseline="0"/>
            <a:t> A</a:t>
          </a:r>
        </a:p>
      </cdr:txBody>
    </cdr:sp>
  </cdr:relSizeAnchor>
  <cdr:relSizeAnchor xmlns:cdr="http://schemas.openxmlformats.org/drawingml/2006/chartDrawing">
    <cdr:from>
      <cdr:x>0.3059</cdr:x>
      <cdr:y>0.45334</cdr:y>
    </cdr:from>
    <cdr:to>
      <cdr:x>0.50331</cdr:x>
      <cdr:y>0.67758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1879600" y="1955800"/>
          <a:ext cx="1212975" cy="9674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Investment</a:t>
          </a:r>
          <a:r>
            <a:rPr lang="en-US" sz="1400" b="1" baseline="0"/>
            <a:t> B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273545</xdr:colOff>
      <xdr:row>82</xdr:row>
      <xdr:rowOff>101538</xdr:rowOff>
    </xdr:from>
    <xdr:to>
      <xdr:col>35</xdr:col>
      <xdr:colOff>142463</xdr:colOff>
      <xdr:row>111</xdr:row>
      <xdr:rowOff>71087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204105</xdr:colOff>
      <xdr:row>13</xdr:row>
      <xdr:rowOff>308882</xdr:rowOff>
    </xdr:from>
    <xdr:to>
      <xdr:col>68</xdr:col>
      <xdr:colOff>40820</xdr:colOff>
      <xdr:row>36</xdr:row>
      <xdr:rowOff>81643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52</xdr:col>
      <xdr:colOff>88444</xdr:colOff>
      <xdr:row>39</xdr:row>
      <xdr:rowOff>20040</xdr:rowOff>
    </xdr:from>
    <xdr:to>
      <xdr:col>63</xdr:col>
      <xdr:colOff>133349</xdr:colOff>
      <xdr:row>65</xdr:row>
      <xdr:rowOff>45439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57728</xdr:colOff>
      <xdr:row>13</xdr:row>
      <xdr:rowOff>569479</xdr:rowOff>
    </xdr:from>
    <xdr:to>
      <xdr:col>85</xdr:col>
      <xdr:colOff>159328</xdr:colOff>
      <xdr:row>39</xdr:row>
      <xdr:rowOff>126421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52</xdr:col>
      <xdr:colOff>68036</xdr:colOff>
      <xdr:row>66</xdr:row>
      <xdr:rowOff>176894</xdr:rowOff>
    </xdr:from>
    <xdr:to>
      <xdr:col>62</xdr:col>
      <xdr:colOff>169636</xdr:colOff>
      <xdr:row>93</xdr:row>
      <xdr:rowOff>11792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52</xdr:col>
      <xdr:colOff>170088</xdr:colOff>
      <xdr:row>95</xdr:row>
      <xdr:rowOff>95250</xdr:rowOff>
    </xdr:from>
    <xdr:to>
      <xdr:col>62</xdr:col>
      <xdr:colOff>280760</xdr:colOff>
      <xdr:row>121</xdr:row>
      <xdr:rowOff>136523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52</xdr:col>
      <xdr:colOff>230229</xdr:colOff>
      <xdr:row>124</xdr:row>
      <xdr:rowOff>144293</xdr:rowOff>
    </xdr:from>
    <xdr:to>
      <xdr:col>62</xdr:col>
      <xdr:colOff>333697</xdr:colOff>
      <xdr:row>150</xdr:row>
      <xdr:rowOff>185566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292553</xdr:colOff>
      <xdr:row>153</xdr:row>
      <xdr:rowOff>32657</xdr:rowOff>
    </xdr:from>
    <xdr:to>
      <xdr:col>62</xdr:col>
      <xdr:colOff>400504</xdr:colOff>
      <xdr:row>179</xdr:row>
      <xdr:rowOff>73930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63</xdr:col>
      <xdr:colOff>192809</xdr:colOff>
      <xdr:row>124</xdr:row>
      <xdr:rowOff>57150</xdr:rowOff>
    </xdr:from>
    <xdr:to>
      <xdr:col>73</xdr:col>
      <xdr:colOff>528205</xdr:colOff>
      <xdr:row>150</xdr:row>
      <xdr:rowOff>98423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86</xdr:col>
      <xdr:colOff>258535</xdr:colOff>
      <xdr:row>44</xdr:row>
      <xdr:rowOff>2721</xdr:rowOff>
    </xdr:from>
    <xdr:to>
      <xdr:col>99</xdr:col>
      <xdr:colOff>47625</xdr:colOff>
      <xdr:row>73</xdr:row>
      <xdr:rowOff>99331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63</xdr:col>
      <xdr:colOff>297657</xdr:colOff>
      <xdr:row>153</xdr:row>
      <xdr:rowOff>82262</xdr:rowOff>
    </xdr:from>
    <xdr:to>
      <xdr:col>74</xdr:col>
      <xdr:colOff>25834</xdr:colOff>
      <xdr:row>179</xdr:row>
      <xdr:rowOff>123535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63</xdr:col>
      <xdr:colOff>273844</xdr:colOff>
      <xdr:row>182</xdr:row>
      <xdr:rowOff>35719</xdr:rowOff>
    </xdr:from>
    <xdr:to>
      <xdr:col>74</xdr:col>
      <xdr:colOff>2021</xdr:colOff>
      <xdr:row>208</xdr:row>
      <xdr:rowOff>76992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53</xdr:col>
      <xdr:colOff>428625</xdr:colOff>
      <xdr:row>46</xdr:row>
      <xdr:rowOff>87313</xdr:rowOff>
    </xdr:from>
    <xdr:to>
      <xdr:col>62</xdr:col>
      <xdr:colOff>301625</xdr:colOff>
      <xdr:row>49</xdr:row>
      <xdr:rowOff>158750</xdr:rowOff>
    </xdr:to>
    <xdr:cxnSp macro="">
      <xdr:nvCxnSpPr>
        <xdr:cNvPr id="6" name="Straight Connector 5"/>
        <xdr:cNvCxnSpPr/>
      </xdr:nvCxnSpPr>
      <xdr:spPr>
        <a:xfrm flipH="1" flipV="1">
          <a:off x="38671500" y="9802813"/>
          <a:ext cx="5492750" cy="674687"/>
        </a:xfrm>
        <a:prstGeom prst="line">
          <a:avLst/>
        </a:prstGeom>
        <a:ln w="1270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460375</xdr:colOff>
      <xdr:row>52</xdr:row>
      <xdr:rowOff>174625</xdr:rowOff>
    </xdr:from>
    <xdr:to>
      <xdr:col>61</xdr:col>
      <xdr:colOff>555625</xdr:colOff>
      <xdr:row>57</xdr:row>
      <xdr:rowOff>142875</xdr:rowOff>
    </xdr:to>
    <xdr:sp macro="" textlink="">
      <xdr:nvSpPr>
        <xdr:cNvPr id="13" name="TextBox 12"/>
        <xdr:cNvSpPr txBox="1"/>
      </xdr:nvSpPr>
      <xdr:spPr>
        <a:xfrm>
          <a:off x="41267063" y="11072813"/>
          <a:ext cx="2540000" cy="920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/>
            <a:t>y = -0.1012x + 11.412</a:t>
          </a:r>
        </a:p>
        <a:p>
          <a:pPr algn="ctr"/>
          <a:r>
            <a:rPr lang="en-US" sz="2000"/>
            <a:t>R</a:t>
          </a:r>
          <a:r>
            <a:rPr lang="en-US" sz="2000" baseline="30000"/>
            <a:t>2</a:t>
          </a:r>
          <a:r>
            <a:rPr lang="en-US" sz="2000"/>
            <a:t> = 0.1732</a:t>
          </a:r>
        </a:p>
      </xdr:txBody>
    </xdr:sp>
    <xdr:clientData/>
  </xdr:twoCellAnchor>
  <xdr:twoCellAnchor>
    <xdr:from>
      <xdr:col>87</xdr:col>
      <xdr:colOff>54429</xdr:colOff>
      <xdr:row>80</xdr:row>
      <xdr:rowOff>95250</xdr:rowOff>
    </xdr:from>
    <xdr:to>
      <xdr:col>99</xdr:col>
      <xdr:colOff>455840</xdr:colOff>
      <xdr:row>110</xdr:row>
      <xdr:rowOff>83003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371236</xdr:colOff>
      <xdr:row>13</xdr:row>
      <xdr:rowOff>267713</xdr:rowOff>
    </xdr:from>
    <xdr:to>
      <xdr:col>51</xdr:col>
      <xdr:colOff>92146</xdr:colOff>
      <xdr:row>29</xdr:row>
      <xdr:rowOff>102644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457200</xdr:colOff>
      <xdr:row>31</xdr:row>
      <xdr:rowOff>95250</xdr:rowOff>
    </xdr:from>
    <xdr:to>
      <xdr:col>51</xdr:col>
      <xdr:colOff>178110</xdr:colOff>
      <xdr:row>48</xdr:row>
      <xdr:rowOff>88931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6</xdr:row>
      <xdr:rowOff>82550</xdr:rowOff>
    </xdr:from>
    <xdr:to>
      <xdr:col>10</xdr:col>
      <xdr:colOff>330200</xdr:colOff>
      <xdr:row>20</xdr:row>
      <xdr:rowOff>158750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1047750</xdr:colOff>
      <xdr:row>6</xdr:row>
      <xdr:rowOff>0</xdr:rowOff>
    </xdr:from>
    <xdr:to>
      <xdr:col>20</xdr:col>
      <xdr:colOff>161925</xdr:colOff>
      <xdr:row>20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436904</xdr:colOff>
      <xdr:row>8</xdr:row>
      <xdr:rowOff>162810</xdr:rowOff>
    </xdr:from>
    <xdr:to>
      <xdr:col>23</xdr:col>
      <xdr:colOff>312461</xdr:colOff>
      <xdr:row>25</xdr:row>
      <xdr:rowOff>160359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179934</xdr:colOff>
      <xdr:row>29</xdr:row>
      <xdr:rowOff>121983</xdr:rowOff>
    </xdr:from>
    <xdr:to>
      <xdr:col>22</xdr:col>
      <xdr:colOff>388937</xdr:colOff>
      <xdr:row>54</xdr:row>
      <xdr:rowOff>30093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75080</xdr:colOff>
      <xdr:row>29</xdr:row>
      <xdr:rowOff>127561</xdr:rowOff>
    </xdr:from>
    <xdr:to>
      <xdr:col>36</xdr:col>
      <xdr:colOff>484910</xdr:colOff>
      <xdr:row>54</xdr:row>
      <xdr:rowOff>35671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367393</xdr:colOff>
      <xdr:row>55</xdr:row>
      <xdr:rowOff>196662</xdr:rowOff>
    </xdr:from>
    <xdr:to>
      <xdr:col>32</xdr:col>
      <xdr:colOff>228600</xdr:colOff>
      <xdr:row>80</xdr:row>
      <xdr:rowOff>114297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53788</xdr:colOff>
      <xdr:row>55</xdr:row>
      <xdr:rowOff>197223</xdr:rowOff>
    </xdr:from>
    <xdr:to>
      <xdr:col>45</xdr:col>
      <xdr:colOff>163285</xdr:colOff>
      <xdr:row>80</xdr:row>
      <xdr:rowOff>105333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548054</xdr:colOff>
      <xdr:row>2</xdr:row>
      <xdr:rowOff>35168</xdr:rowOff>
    </xdr:from>
    <xdr:to>
      <xdr:col>14</xdr:col>
      <xdr:colOff>254977</xdr:colOff>
      <xdr:row>19</xdr:row>
      <xdr:rowOff>139211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523875</xdr:colOff>
      <xdr:row>22</xdr:row>
      <xdr:rowOff>95249</xdr:rowOff>
    </xdr:from>
    <xdr:to>
      <xdr:col>14</xdr:col>
      <xdr:colOff>219075</xdr:colOff>
      <xdr:row>39</xdr:row>
      <xdr:rowOff>177362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13137</xdr:colOff>
      <xdr:row>22</xdr:row>
      <xdr:rowOff>65690</xdr:rowOff>
    </xdr:from>
    <xdr:to>
      <xdr:col>22</xdr:col>
      <xdr:colOff>319251</xdr:colOff>
      <xdr:row>39</xdr:row>
      <xdr:rowOff>147803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78676</xdr:colOff>
      <xdr:row>5</xdr:row>
      <xdr:rowOff>184236</xdr:rowOff>
    </xdr:from>
    <xdr:to>
      <xdr:col>19</xdr:col>
      <xdr:colOff>455405</xdr:colOff>
      <xdr:row>25</xdr:row>
      <xdr:rowOff>141740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185737</xdr:colOff>
      <xdr:row>26</xdr:row>
      <xdr:rowOff>125412</xdr:rowOff>
    </xdr:from>
    <xdr:to>
      <xdr:col>19</xdr:col>
      <xdr:colOff>562466</xdr:colOff>
      <xdr:row>46</xdr:row>
      <xdr:rowOff>82916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39687</xdr:colOff>
      <xdr:row>47</xdr:row>
      <xdr:rowOff>87313</xdr:rowOff>
    </xdr:from>
    <xdr:to>
      <xdr:col>19</xdr:col>
      <xdr:colOff>416416</xdr:colOff>
      <xdr:row>67</xdr:row>
      <xdr:rowOff>44817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3</xdr:row>
      <xdr:rowOff>28575</xdr:rowOff>
    </xdr:from>
    <xdr:to>
      <xdr:col>12</xdr:col>
      <xdr:colOff>180976</xdr:colOff>
      <xdr:row>7</xdr:row>
      <xdr:rowOff>71120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4175" y="600075"/>
          <a:ext cx="4572000" cy="804545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7</xdr:row>
      <xdr:rowOff>85725</xdr:rowOff>
    </xdr:from>
    <xdr:to>
      <xdr:col>9</xdr:col>
      <xdr:colOff>342900</xdr:colOff>
      <xdr:row>12</xdr:row>
      <xdr:rowOff>266700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71900" y="1419225"/>
          <a:ext cx="2057400" cy="1133475"/>
        </a:xfrm>
        <a:prstGeom prst="rect">
          <a:avLst/>
        </a:prstGeom>
      </xdr:spPr>
    </xdr:pic>
    <xdr:clientData/>
  </xdr:twoCellAnchor>
  <xdr:twoCellAnchor>
    <xdr:from>
      <xdr:col>4</xdr:col>
      <xdr:colOff>99392</xdr:colOff>
      <xdr:row>14</xdr:row>
      <xdr:rowOff>19879</xdr:rowOff>
    </xdr:from>
    <xdr:to>
      <xdr:col>11</xdr:col>
      <xdr:colOff>381001</xdr:colOff>
      <xdr:row>33</xdr:row>
      <xdr:rowOff>21981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n.wikipedia.org/wiki/List_of_Modern_Family_episodes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n.wikipedia.org/wiki/List_of_Modern_Family_episodes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en.wikipedia.org/wiki/Motorola_68020" TargetMode="External"/><Relationship Id="rId21" Type="http://schemas.openxmlformats.org/officeDocument/2006/relationships/hyperlink" Target="https://en.wikipedia.org/wiki/WDC_65C02" TargetMode="External"/><Relationship Id="rId42" Type="http://schemas.openxmlformats.org/officeDocument/2006/relationships/hyperlink" Target="https://en.wikipedia.org/wiki/ARM_architecture" TargetMode="External"/><Relationship Id="rId47" Type="http://schemas.openxmlformats.org/officeDocument/2006/relationships/hyperlink" Target="https://en.wikipedia.org/wiki/Pentium_II" TargetMode="External"/><Relationship Id="rId63" Type="http://schemas.openxmlformats.org/officeDocument/2006/relationships/hyperlink" Target="https://en.wikipedia.org/wiki/Pentium_D" TargetMode="External"/><Relationship Id="rId68" Type="http://schemas.openxmlformats.org/officeDocument/2006/relationships/hyperlink" Target="https://en.wikipedia.org/wiki/Pentium_D" TargetMode="External"/><Relationship Id="rId84" Type="http://schemas.openxmlformats.org/officeDocument/2006/relationships/hyperlink" Target="https://en.wikipedia.org/wiki/Sandy_Bridge-E_%28microprocessor%29" TargetMode="External"/><Relationship Id="rId89" Type="http://schemas.openxmlformats.org/officeDocument/2006/relationships/hyperlink" Target="https://en.wikipedia.org/wiki/AMD_Trinity" TargetMode="External"/><Relationship Id="rId2" Type="http://schemas.openxmlformats.org/officeDocument/2006/relationships/hyperlink" Target="https://en.wikipedia.org/wiki/Intel_4004" TargetMode="External"/><Relationship Id="rId16" Type="http://schemas.openxmlformats.org/officeDocument/2006/relationships/hyperlink" Target="https://en.wikipedia.org/wiki/Zilog" TargetMode="External"/><Relationship Id="rId29" Type="http://schemas.openxmlformats.org/officeDocument/2006/relationships/hyperlink" Target="https://en.wikipedia.org/wiki/Intel_80386" TargetMode="External"/><Relationship Id="rId107" Type="http://schemas.openxmlformats.org/officeDocument/2006/relationships/hyperlink" Target="https://en.wikipedia.org/wiki/Apple_A10" TargetMode="External"/><Relationship Id="rId11" Type="http://schemas.openxmlformats.org/officeDocument/2006/relationships/hyperlink" Target="https://en.wikipedia.org/wiki/Texas_Instruments" TargetMode="External"/><Relationship Id="rId24" Type="http://schemas.openxmlformats.org/officeDocument/2006/relationships/hyperlink" Target="https://en.wikipedia.org/wiki/WDC_65C816" TargetMode="External"/><Relationship Id="rId32" Type="http://schemas.openxmlformats.org/officeDocument/2006/relationships/hyperlink" Target="https://en.wikipedia.org/wiki/Intel_i960" TargetMode="External"/><Relationship Id="rId37" Type="http://schemas.openxmlformats.org/officeDocument/2006/relationships/hyperlink" Target="https://en.wikipedia.org/wiki/R4000" TargetMode="External"/><Relationship Id="rId40" Type="http://schemas.openxmlformats.org/officeDocument/2006/relationships/hyperlink" Target="https://en.wikipedia.org/wiki/ARM_architecture" TargetMode="External"/><Relationship Id="rId45" Type="http://schemas.openxmlformats.org/officeDocument/2006/relationships/hyperlink" Target="https://en.wikipedia.org/wiki/AMD_K6" TargetMode="External"/><Relationship Id="rId53" Type="http://schemas.openxmlformats.org/officeDocument/2006/relationships/hyperlink" Target="https://en.wikipedia.org/wiki/Pentium_4" TargetMode="External"/><Relationship Id="rId58" Type="http://schemas.openxmlformats.org/officeDocument/2006/relationships/hyperlink" Target="https://en.wikipedia.org/wiki/AMD_K8" TargetMode="External"/><Relationship Id="rId66" Type="http://schemas.openxmlformats.org/officeDocument/2006/relationships/hyperlink" Target="https://en.wikipedia.org/wiki/Itanium_2" TargetMode="External"/><Relationship Id="rId74" Type="http://schemas.openxmlformats.org/officeDocument/2006/relationships/hyperlink" Target="https://en.wikipedia.org/wiki/AMD_K10" TargetMode="External"/><Relationship Id="rId79" Type="http://schemas.openxmlformats.org/officeDocument/2006/relationships/hyperlink" Target="https://en.wikipedia.org/wiki/Opteron" TargetMode="External"/><Relationship Id="rId87" Type="http://schemas.openxmlformats.org/officeDocument/2006/relationships/hyperlink" Target="https://en.wikipedia.org/wiki/Poulson_%28processor%29" TargetMode="External"/><Relationship Id="rId102" Type="http://schemas.openxmlformats.org/officeDocument/2006/relationships/hyperlink" Target="https://en.wikipedia.org/wiki/IBM_z13_%28microprocessor%29" TargetMode="External"/><Relationship Id="rId5" Type="http://schemas.openxmlformats.org/officeDocument/2006/relationships/hyperlink" Target="https://en.wikipedia.org/wiki/Intel_8080" TargetMode="External"/><Relationship Id="rId61" Type="http://schemas.openxmlformats.org/officeDocument/2006/relationships/hyperlink" Target="https://en.wikipedia.org/wiki/Pentium_4" TargetMode="External"/><Relationship Id="rId82" Type="http://schemas.openxmlformats.org/officeDocument/2006/relationships/hyperlink" Target="https://en.wikipedia.org/wiki/Tukwila_%28processor%29" TargetMode="External"/><Relationship Id="rId90" Type="http://schemas.openxmlformats.org/officeDocument/2006/relationships/hyperlink" Target="https://en.wikipedia.org/wiki/Ivy_Bridge_%28microarchitecture%29" TargetMode="External"/><Relationship Id="rId95" Type="http://schemas.openxmlformats.org/officeDocument/2006/relationships/hyperlink" Target="https://en.wikipedia.org/wiki/Microsoft" TargetMode="External"/><Relationship Id="rId19" Type="http://schemas.openxmlformats.org/officeDocument/2006/relationships/hyperlink" Target="https://en.wikipedia.org/wiki/Intel_8088" TargetMode="External"/><Relationship Id="rId14" Type="http://schemas.openxmlformats.org/officeDocument/2006/relationships/hyperlink" Target="https://en.wikipedia.org/wiki/Intel_8085" TargetMode="External"/><Relationship Id="rId22" Type="http://schemas.openxmlformats.org/officeDocument/2006/relationships/hyperlink" Target="https://en.wikipedia.org/wiki/Intel_80186" TargetMode="External"/><Relationship Id="rId27" Type="http://schemas.openxmlformats.org/officeDocument/2006/relationships/hyperlink" Target="https://en.wikipedia.org/wiki/ARM_architecture" TargetMode="External"/><Relationship Id="rId30" Type="http://schemas.openxmlformats.org/officeDocument/2006/relationships/hyperlink" Target="https://en.wikipedia.org/wiki/Harris_Corporation" TargetMode="External"/><Relationship Id="rId35" Type="http://schemas.openxmlformats.org/officeDocument/2006/relationships/hyperlink" Target="https://en.wikipedia.org/wiki/ARM_architecture" TargetMode="External"/><Relationship Id="rId43" Type="http://schemas.openxmlformats.org/officeDocument/2006/relationships/hyperlink" Target="https://en.wikipedia.org/wiki/AMD_K5" TargetMode="External"/><Relationship Id="rId48" Type="http://schemas.openxmlformats.org/officeDocument/2006/relationships/hyperlink" Target="https://en.wikipedia.org/wiki/AMD_K6-III" TargetMode="External"/><Relationship Id="rId56" Type="http://schemas.openxmlformats.org/officeDocument/2006/relationships/hyperlink" Target="https://en.wikipedia.org/wiki/Itanium_2" TargetMode="External"/><Relationship Id="rId64" Type="http://schemas.openxmlformats.org/officeDocument/2006/relationships/hyperlink" Target="https://en.wikipedia.org/wiki/Cell_%28microprocessor%29" TargetMode="External"/><Relationship Id="rId69" Type="http://schemas.openxmlformats.org/officeDocument/2006/relationships/hyperlink" Target="https://en.wikipedia.org/wiki/AMD_K10" TargetMode="External"/><Relationship Id="rId77" Type="http://schemas.openxmlformats.org/officeDocument/2006/relationships/hyperlink" Target="https://en.wikipedia.org/wiki/Core_i7" TargetMode="External"/><Relationship Id="rId100" Type="http://schemas.openxmlformats.org/officeDocument/2006/relationships/hyperlink" Target="https://en.wikipedia.org/wiki/Haswell_%28microarchitecture%29" TargetMode="External"/><Relationship Id="rId105" Type="http://schemas.openxmlformats.org/officeDocument/2006/relationships/hyperlink" Target="https://en.wikipedia.org/wiki/SPARC" TargetMode="External"/><Relationship Id="rId8" Type="http://schemas.openxmlformats.org/officeDocument/2006/relationships/hyperlink" Target="https://en.wikipedia.org/wiki/RCA_1802" TargetMode="External"/><Relationship Id="rId51" Type="http://schemas.openxmlformats.org/officeDocument/2006/relationships/hyperlink" Target="https://en.wikipedia.org/wiki/Pentium_II" TargetMode="External"/><Relationship Id="rId72" Type="http://schemas.openxmlformats.org/officeDocument/2006/relationships/hyperlink" Target="https://en.wikipedia.org/wiki/Core_2_Duo" TargetMode="External"/><Relationship Id="rId80" Type="http://schemas.openxmlformats.org/officeDocument/2006/relationships/hyperlink" Target="https://en.wikipedia.org/wiki/SPARC_T3" TargetMode="External"/><Relationship Id="rId85" Type="http://schemas.openxmlformats.org/officeDocument/2006/relationships/hyperlink" Target="https://en.wikipedia.org/wiki/Xeon_Phi" TargetMode="External"/><Relationship Id="rId93" Type="http://schemas.openxmlformats.org/officeDocument/2006/relationships/hyperlink" Target="https://en.wikipedia.org/wiki/Ivy_Bridge_%28microarchitecture%29" TargetMode="External"/><Relationship Id="rId98" Type="http://schemas.openxmlformats.org/officeDocument/2006/relationships/hyperlink" Target="https://en.wikipedia.org/wiki/Apple_A8" TargetMode="External"/><Relationship Id="rId3" Type="http://schemas.openxmlformats.org/officeDocument/2006/relationships/hyperlink" Target="https://en.wikipedia.org/wiki/Intel" TargetMode="External"/><Relationship Id="rId12" Type="http://schemas.openxmlformats.org/officeDocument/2006/relationships/hyperlink" Target="https://en.wikipedia.org/wiki/MOS_Technology_6502" TargetMode="External"/><Relationship Id="rId17" Type="http://schemas.openxmlformats.org/officeDocument/2006/relationships/hyperlink" Target="https://en.wikipedia.org/wiki/Intel_8086" TargetMode="External"/><Relationship Id="rId25" Type="http://schemas.openxmlformats.org/officeDocument/2006/relationships/hyperlink" Target="https://en.wikipedia.org/wiki/Western_Design_Center" TargetMode="External"/><Relationship Id="rId33" Type="http://schemas.openxmlformats.org/officeDocument/2006/relationships/hyperlink" Target="https://en.wikipedia.org/wiki/ARM_architecture" TargetMode="External"/><Relationship Id="rId38" Type="http://schemas.openxmlformats.org/officeDocument/2006/relationships/hyperlink" Target="https://en.wikipedia.org/wiki/MIPS_Technologies" TargetMode="External"/><Relationship Id="rId46" Type="http://schemas.openxmlformats.org/officeDocument/2006/relationships/hyperlink" Target="https://en.wikipedia.org/wiki/Pentium_II" TargetMode="External"/><Relationship Id="rId59" Type="http://schemas.openxmlformats.org/officeDocument/2006/relationships/hyperlink" Target="https://en.wikipedia.org/wiki/Athlon" TargetMode="External"/><Relationship Id="rId67" Type="http://schemas.openxmlformats.org/officeDocument/2006/relationships/hyperlink" Target="https://en.wikipedia.org/wiki/Pentium_4" TargetMode="External"/><Relationship Id="rId103" Type="http://schemas.openxmlformats.org/officeDocument/2006/relationships/hyperlink" Target="https://en.wikipedia.org/wiki/IBM_z13_%28microprocessor%29" TargetMode="External"/><Relationship Id="rId108" Type="http://schemas.openxmlformats.org/officeDocument/2006/relationships/hyperlink" Target="https://en.wikipedia.org/wiki/Transistor_count" TargetMode="External"/><Relationship Id="rId20" Type="http://schemas.openxmlformats.org/officeDocument/2006/relationships/hyperlink" Target="https://en.wikipedia.org/wiki/Motorola_68000" TargetMode="External"/><Relationship Id="rId41" Type="http://schemas.openxmlformats.org/officeDocument/2006/relationships/hyperlink" Target="https://en.wikipedia.org/wiki/Pentium_Pro" TargetMode="External"/><Relationship Id="rId54" Type="http://schemas.openxmlformats.org/officeDocument/2006/relationships/hyperlink" Target="https://en.wikipedia.org/wiki/Pentium_III" TargetMode="External"/><Relationship Id="rId62" Type="http://schemas.openxmlformats.org/officeDocument/2006/relationships/hyperlink" Target="https://en.wikipedia.org/wiki/Pentium_4" TargetMode="External"/><Relationship Id="rId70" Type="http://schemas.openxmlformats.org/officeDocument/2006/relationships/hyperlink" Target="https://en.wikipedia.org/wiki/ARM_architecture" TargetMode="External"/><Relationship Id="rId75" Type="http://schemas.openxmlformats.org/officeDocument/2006/relationships/hyperlink" Target="https://en.wikipedia.org/wiki/Intel_Atom" TargetMode="External"/><Relationship Id="rId83" Type="http://schemas.openxmlformats.org/officeDocument/2006/relationships/hyperlink" Target="https://en.wikipedia.org/wiki/Gulftown_%28microprocessor%29" TargetMode="External"/><Relationship Id="rId88" Type="http://schemas.openxmlformats.org/officeDocument/2006/relationships/hyperlink" Target="https://en.wikipedia.org/wiki/POWER7" TargetMode="External"/><Relationship Id="rId91" Type="http://schemas.openxmlformats.org/officeDocument/2006/relationships/hyperlink" Target="https://en.wikipedia.org/wiki/IBM_zEC12_%28microprocessor%29" TargetMode="External"/><Relationship Id="rId96" Type="http://schemas.openxmlformats.org/officeDocument/2006/relationships/hyperlink" Target="https://en.wikipedia.org/wiki/Haswell_%28microarchitecture%29" TargetMode="External"/><Relationship Id="rId1" Type="http://schemas.openxmlformats.org/officeDocument/2006/relationships/hyperlink" Target="https://en.wikipedia.org/wiki/Semiconductor_device_fabrication" TargetMode="External"/><Relationship Id="rId6" Type="http://schemas.openxmlformats.org/officeDocument/2006/relationships/hyperlink" Target="https://en.wikipedia.org/wiki/Motorola_6800" TargetMode="External"/><Relationship Id="rId15" Type="http://schemas.openxmlformats.org/officeDocument/2006/relationships/hyperlink" Target="https://en.wikipedia.org/wiki/Zilog_Z80" TargetMode="External"/><Relationship Id="rId23" Type="http://schemas.openxmlformats.org/officeDocument/2006/relationships/hyperlink" Target="https://en.wikipedia.org/wiki/Intel_80286" TargetMode="External"/><Relationship Id="rId28" Type="http://schemas.openxmlformats.org/officeDocument/2006/relationships/hyperlink" Target="https://en.wikipedia.org/wiki/Acorn_Computers" TargetMode="External"/><Relationship Id="rId36" Type="http://schemas.openxmlformats.org/officeDocument/2006/relationships/hyperlink" Target="https://en.wikipedia.org/wiki/ARM_Holdings" TargetMode="External"/><Relationship Id="rId49" Type="http://schemas.openxmlformats.org/officeDocument/2006/relationships/hyperlink" Target="https://en.wikipedia.org/wiki/AMD_K7" TargetMode="External"/><Relationship Id="rId57" Type="http://schemas.openxmlformats.org/officeDocument/2006/relationships/hyperlink" Target="https://en.wikipedia.org/wiki/Pentium_4" TargetMode="External"/><Relationship Id="rId106" Type="http://schemas.openxmlformats.org/officeDocument/2006/relationships/hyperlink" Target="https://en.wikipedia.org/wiki/Broadwell_%28microarchitecture%29" TargetMode="External"/><Relationship Id="rId10" Type="http://schemas.openxmlformats.org/officeDocument/2006/relationships/hyperlink" Target="https://en.wikipedia.org/wiki/Texas_Instruments_TMS1000" TargetMode="External"/><Relationship Id="rId31" Type="http://schemas.openxmlformats.org/officeDocument/2006/relationships/hyperlink" Target="https://en.wikipedia.org/wiki/ARM_architecture" TargetMode="External"/><Relationship Id="rId44" Type="http://schemas.openxmlformats.org/officeDocument/2006/relationships/hyperlink" Target="https://en.wikipedia.org/wiki/AMD" TargetMode="External"/><Relationship Id="rId52" Type="http://schemas.openxmlformats.org/officeDocument/2006/relationships/hyperlink" Target="https://en.wikipedia.org/wiki/Pentium_III" TargetMode="External"/><Relationship Id="rId60" Type="http://schemas.openxmlformats.org/officeDocument/2006/relationships/hyperlink" Target="https://en.wikipedia.org/wiki/Itanium_2" TargetMode="External"/><Relationship Id="rId65" Type="http://schemas.openxmlformats.org/officeDocument/2006/relationships/hyperlink" Target="https://en.wikipedia.org/wiki/Core_2_Duo" TargetMode="External"/><Relationship Id="rId73" Type="http://schemas.openxmlformats.org/officeDocument/2006/relationships/hyperlink" Target="https://en.wikipedia.org/wiki/POWER6" TargetMode="External"/><Relationship Id="rId78" Type="http://schemas.openxmlformats.org/officeDocument/2006/relationships/hyperlink" Target="https://en.wikipedia.org/wiki/Xeon" TargetMode="External"/><Relationship Id="rId81" Type="http://schemas.openxmlformats.org/officeDocument/2006/relationships/hyperlink" Target="https://en.wikipedia.org/wiki/POWER7" TargetMode="External"/><Relationship Id="rId86" Type="http://schemas.openxmlformats.org/officeDocument/2006/relationships/hyperlink" Target="https://en.wikipedia.org/wiki/AMD_Bulldozer" TargetMode="External"/><Relationship Id="rId94" Type="http://schemas.openxmlformats.org/officeDocument/2006/relationships/hyperlink" Target="https://en.wikipedia.org/wiki/Xbox_One" TargetMode="External"/><Relationship Id="rId99" Type="http://schemas.openxmlformats.org/officeDocument/2006/relationships/hyperlink" Target="https://en.wikipedia.org/wiki/Apple_A8X" TargetMode="External"/><Relationship Id="rId101" Type="http://schemas.openxmlformats.org/officeDocument/2006/relationships/hyperlink" Target="https://en.wikipedia.org/wiki/Broadwell_%28microarchitecture%29" TargetMode="External"/><Relationship Id="rId4" Type="http://schemas.openxmlformats.org/officeDocument/2006/relationships/hyperlink" Target="https://en.wikipedia.org/wiki/Intel_8008" TargetMode="External"/><Relationship Id="rId9" Type="http://schemas.openxmlformats.org/officeDocument/2006/relationships/hyperlink" Target="https://en.wikipedia.org/wiki/RCA" TargetMode="External"/><Relationship Id="rId13" Type="http://schemas.openxmlformats.org/officeDocument/2006/relationships/hyperlink" Target="https://en.wikipedia.org/wiki/MOS_Technology" TargetMode="External"/><Relationship Id="rId18" Type="http://schemas.openxmlformats.org/officeDocument/2006/relationships/hyperlink" Target="https://en.wikipedia.org/wiki/Motorola_6809" TargetMode="External"/><Relationship Id="rId39" Type="http://schemas.openxmlformats.org/officeDocument/2006/relationships/hyperlink" Target="https://en.wikipedia.org/wiki/Intel_P5" TargetMode="External"/><Relationship Id="rId109" Type="http://schemas.openxmlformats.org/officeDocument/2006/relationships/drawing" Target="../drawings/drawing12.xml"/><Relationship Id="rId34" Type="http://schemas.openxmlformats.org/officeDocument/2006/relationships/hyperlink" Target="https://en.wikipedia.org/wiki/Intel_80486" TargetMode="External"/><Relationship Id="rId50" Type="http://schemas.openxmlformats.org/officeDocument/2006/relationships/hyperlink" Target="https://en.wikipedia.org/wiki/ARM_architecture" TargetMode="External"/><Relationship Id="rId55" Type="http://schemas.openxmlformats.org/officeDocument/2006/relationships/hyperlink" Target="https://en.wikipedia.org/wiki/Pentium_III" TargetMode="External"/><Relationship Id="rId76" Type="http://schemas.openxmlformats.org/officeDocument/2006/relationships/hyperlink" Target="https://en.wikipedia.org/wiki/Core_2_Duo" TargetMode="External"/><Relationship Id="rId97" Type="http://schemas.openxmlformats.org/officeDocument/2006/relationships/hyperlink" Target="https://en.wikipedia.org/wiki/Haswell_%28microarchitecture%29" TargetMode="External"/><Relationship Id="rId104" Type="http://schemas.openxmlformats.org/officeDocument/2006/relationships/hyperlink" Target="https://en.wikipedia.org/wiki/Skylake_%28microarchitecture%29" TargetMode="External"/><Relationship Id="rId7" Type="http://schemas.openxmlformats.org/officeDocument/2006/relationships/hyperlink" Target="https://en.wikipedia.org/wiki/Motorola" TargetMode="External"/><Relationship Id="rId71" Type="http://schemas.openxmlformats.org/officeDocument/2006/relationships/hyperlink" Target="https://en.wikipedia.org/wiki/Core_2_Duo" TargetMode="External"/><Relationship Id="rId92" Type="http://schemas.openxmlformats.org/officeDocument/2006/relationships/hyperlink" Target="https://en.wikipedia.org/wiki/POWER8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support.office.com/en-us/article/MINVERSE-function-11f55086-adde-4c9f-8eb9-59da2d72efc6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6"/>
  <sheetViews>
    <sheetView tabSelected="1" workbookViewId="0">
      <selection activeCell="C14" sqref="C14"/>
    </sheetView>
  </sheetViews>
  <sheetFormatPr defaultRowHeight="15" x14ac:dyDescent="0.25"/>
  <cols>
    <col min="2" max="2" width="35.7109375" style="184" customWidth="1"/>
    <col min="3" max="3" width="58.140625" customWidth="1"/>
  </cols>
  <sheetData>
    <row r="1" spans="2:3" ht="15.75" thickBot="1" x14ac:dyDescent="0.3"/>
    <row r="2" spans="2:3" ht="35.25" customHeight="1" thickTop="1" thickBot="1" x14ac:dyDescent="0.3">
      <c r="C2" s="199" t="s">
        <v>589</v>
      </c>
    </row>
    <row r="3" spans="2:3" ht="15.75" thickTop="1" x14ac:dyDescent="0.25"/>
    <row r="4" spans="2:3" ht="18.75" x14ac:dyDescent="0.3">
      <c r="B4" s="36" t="s">
        <v>573</v>
      </c>
      <c r="C4" s="36" t="s">
        <v>574</v>
      </c>
    </row>
    <row r="5" spans="2:3" x14ac:dyDescent="0.25">
      <c r="B5" s="187" t="s">
        <v>575</v>
      </c>
      <c r="C5" t="s">
        <v>576</v>
      </c>
    </row>
    <row r="6" spans="2:3" x14ac:dyDescent="0.25">
      <c r="B6" s="187" t="s">
        <v>567</v>
      </c>
      <c r="C6" t="s">
        <v>580</v>
      </c>
    </row>
    <row r="7" spans="2:3" x14ac:dyDescent="0.25">
      <c r="B7" s="187" t="s">
        <v>582</v>
      </c>
      <c r="C7" t="s">
        <v>583</v>
      </c>
    </row>
    <row r="8" spans="2:3" x14ac:dyDescent="0.25">
      <c r="B8" s="187" t="s">
        <v>594</v>
      </c>
      <c r="C8" t="s">
        <v>595</v>
      </c>
    </row>
    <row r="9" spans="2:3" x14ac:dyDescent="0.25">
      <c r="B9" s="187"/>
    </row>
    <row r="10" spans="2:3" x14ac:dyDescent="0.25">
      <c r="B10" s="187" t="s">
        <v>584</v>
      </c>
      <c r="C10" t="s">
        <v>585</v>
      </c>
    </row>
    <row r="11" spans="2:3" x14ac:dyDescent="0.25">
      <c r="B11" s="187" t="s">
        <v>608</v>
      </c>
      <c r="C11" t="s">
        <v>609</v>
      </c>
    </row>
    <row r="12" spans="2:3" x14ac:dyDescent="0.25">
      <c r="B12" s="187" t="s">
        <v>611</v>
      </c>
      <c r="C12" t="s">
        <v>612</v>
      </c>
    </row>
    <row r="14" spans="2:3" x14ac:dyDescent="0.25">
      <c r="B14" s="187" t="s">
        <v>590</v>
      </c>
      <c r="C14" t="s">
        <v>592</v>
      </c>
    </row>
    <row r="15" spans="2:3" x14ac:dyDescent="0.25">
      <c r="B15" s="187" t="s">
        <v>591</v>
      </c>
      <c r="C15" t="s">
        <v>593</v>
      </c>
    </row>
    <row r="17" spans="2:3" x14ac:dyDescent="0.25">
      <c r="B17" s="187" t="s">
        <v>600</v>
      </c>
      <c r="C17" t="s">
        <v>601</v>
      </c>
    </row>
    <row r="18" spans="2:3" x14ac:dyDescent="0.25">
      <c r="B18" s="187" t="s">
        <v>605</v>
      </c>
      <c r="C18" t="s">
        <v>606</v>
      </c>
    </row>
    <row r="21" spans="2:3" x14ac:dyDescent="0.25">
      <c r="B21" s="187" t="s">
        <v>616</v>
      </c>
      <c r="C21" t="s">
        <v>617</v>
      </c>
    </row>
    <row r="22" spans="2:3" x14ac:dyDescent="0.25">
      <c r="B22" s="187" t="s">
        <v>614</v>
      </c>
      <c r="C22" t="s">
        <v>615</v>
      </c>
    </row>
    <row r="24" spans="2:3" x14ac:dyDescent="0.25">
      <c r="B24" s="187" t="s">
        <v>33</v>
      </c>
      <c r="C24" t="s">
        <v>619</v>
      </c>
    </row>
    <row r="25" spans="2:3" x14ac:dyDescent="0.25">
      <c r="B25" s="187" t="s">
        <v>384</v>
      </c>
      <c r="C25" t="s">
        <v>621</v>
      </c>
    </row>
    <row r="26" spans="2:3" x14ac:dyDescent="0.25">
      <c r="B26" s="187" t="s">
        <v>628</v>
      </c>
      <c r="C26" t="s">
        <v>629</v>
      </c>
    </row>
  </sheetData>
  <hyperlinks>
    <hyperlink ref="B5" location="Starbucks!A1" display="Starbucks"/>
    <hyperlink ref="B6" location="'R squared'!A1" display="R Squared"/>
    <hyperlink ref="B7" location="'R squared - horizontal data'!A1" display="R Squared - Horizontal Data"/>
    <hyperlink ref="B10" location="Correlation_Shapes!A1" display="Correlation Shapes"/>
    <hyperlink ref="B14" location="'Modern Family'!A1" display="Modern Family"/>
    <hyperlink ref="B15" location="'Modern Family Multiple Regressi'!A1" display="Modern Family Multiple Regression"/>
    <hyperlink ref="B8" location="'U.S. State Population'!A1" display="U.S. State Population"/>
    <hyperlink ref="B17" location="'Exponential Regression'!A1" display="Exponential Regression"/>
    <hyperlink ref="B18" location="'Moores Law Regression'!A1" display="Moores Law Regression"/>
    <hyperlink ref="B11" location="'Stock Correlation'!A1" display="Stock Correlation"/>
    <hyperlink ref="B12" location="'stocks and bonds'!A1" display="Stocks and Bonds"/>
    <hyperlink ref="B22" location="'Multiple Regression-3 Indepen'!A1" display="Multiple Regression - 3 Independent"/>
    <hyperlink ref="B21" location="'Multiple Regression-2 Independe'!A1" display="Multiple Regression - 2 Independent"/>
    <hyperlink ref="B24" location="Intercept!A1" display="Intercept"/>
    <hyperlink ref="B25" location="Residual!A1" display="Residual"/>
    <hyperlink ref="B26" location="'Adjusted R2'!A1" display="Adjusted R2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zoomScale="80" zoomScaleNormal="80" workbookViewId="0">
      <selection activeCell="C24" sqref="C24"/>
    </sheetView>
  </sheetViews>
  <sheetFormatPr defaultRowHeight="15" x14ac:dyDescent="0.25"/>
  <cols>
    <col min="2" max="2" width="15.28515625" bestFit="1" customWidth="1"/>
    <col min="3" max="3" width="20" bestFit="1" customWidth="1"/>
  </cols>
  <sheetData>
    <row r="1" spans="1:14" x14ac:dyDescent="0.25">
      <c r="A1" s="264" t="s">
        <v>578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4" spans="1:14" x14ac:dyDescent="0.25">
      <c r="A4" t="s">
        <v>577</v>
      </c>
    </row>
    <row r="6" spans="1:14" x14ac:dyDescent="0.25">
      <c r="B6" t="s">
        <v>90</v>
      </c>
      <c r="C6" s="157" t="s">
        <v>93</v>
      </c>
      <c r="D6" t="s">
        <v>499</v>
      </c>
      <c r="H6" s="157"/>
      <c r="I6" s="157"/>
    </row>
    <row r="7" spans="1:14" x14ac:dyDescent="0.25">
      <c r="B7" t="s">
        <v>532</v>
      </c>
      <c r="C7" s="46">
        <v>4.7801270000000002</v>
      </c>
      <c r="D7">
        <v>39</v>
      </c>
      <c r="I7" s="46"/>
    </row>
    <row r="8" spans="1:14" x14ac:dyDescent="0.25">
      <c r="B8" t="s">
        <v>536</v>
      </c>
      <c r="C8" s="46">
        <v>0.71024900000000002</v>
      </c>
      <c r="D8">
        <v>25</v>
      </c>
      <c r="I8" s="46"/>
    </row>
    <row r="9" spans="1:14" x14ac:dyDescent="0.25">
      <c r="B9" t="s">
        <v>507</v>
      </c>
      <c r="C9" s="46">
        <v>6.3923069999999997</v>
      </c>
      <c r="D9">
        <v>248</v>
      </c>
      <c r="I9" s="46"/>
    </row>
    <row r="10" spans="1:14" x14ac:dyDescent="0.25">
      <c r="B10" t="s">
        <v>541</v>
      </c>
      <c r="C10" s="46">
        <v>2.9159579999999998</v>
      </c>
      <c r="D10">
        <v>15</v>
      </c>
      <c r="I10" s="46"/>
    </row>
    <row r="11" spans="1:14" x14ac:dyDescent="0.25">
      <c r="B11" t="s">
        <v>500</v>
      </c>
      <c r="C11" s="46">
        <v>37.254503</v>
      </c>
      <c r="D11" s="159">
        <v>2010</v>
      </c>
      <c r="I11" s="46"/>
    </row>
    <row r="12" spans="1:14" x14ac:dyDescent="0.25">
      <c r="B12" t="s">
        <v>506</v>
      </c>
      <c r="C12" s="46">
        <v>5.0293239999999999</v>
      </c>
      <c r="D12">
        <v>322</v>
      </c>
      <c r="I12" s="46"/>
    </row>
    <row r="13" spans="1:14" x14ac:dyDescent="0.25">
      <c r="B13" t="s">
        <v>524</v>
      </c>
      <c r="C13" s="46">
        <v>3.5741179999999999</v>
      </c>
      <c r="D13">
        <v>76</v>
      </c>
      <c r="I13" s="46"/>
    </row>
    <row r="14" spans="1:14" x14ac:dyDescent="0.25">
      <c r="B14" t="s">
        <v>539</v>
      </c>
      <c r="C14" s="46">
        <v>0.89793599999999996</v>
      </c>
      <c r="D14">
        <v>16</v>
      </c>
      <c r="I14" s="46"/>
    </row>
    <row r="15" spans="1:14" x14ac:dyDescent="0.25">
      <c r="B15" t="s">
        <v>505</v>
      </c>
      <c r="C15" s="46">
        <v>18.804622999999999</v>
      </c>
      <c r="D15">
        <v>375</v>
      </c>
      <c r="I15" s="46"/>
    </row>
    <row r="16" spans="1:14" x14ac:dyDescent="0.25">
      <c r="B16" t="s">
        <v>513</v>
      </c>
      <c r="C16" s="46">
        <v>9.6886810000000008</v>
      </c>
      <c r="D16">
        <v>168</v>
      </c>
      <c r="I16" s="46"/>
    </row>
    <row r="17" spans="2:9" x14ac:dyDescent="0.25">
      <c r="B17" t="s">
        <v>525</v>
      </c>
      <c r="C17" s="46">
        <v>1.360301</v>
      </c>
      <c r="D17">
        <v>59</v>
      </c>
      <c r="I17" s="46"/>
    </row>
    <row r="18" spans="2:9" x14ac:dyDescent="0.25">
      <c r="B18" t="s">
        <v>533</v>
      </c>
      <c r="C18" s="46">
        <v>1.567652</v>
      </c>
      <c r="D18">
        <v>39</v>
      </c>
      <c r="I18" s="46"/>
    </row>
    <row r="19" spans="2:9" x14ac:dyDescent="0.25">
      <c r="B19" t="s">
        <v>503</v>
      </c>
      <c r="C19" s="46">
        <v>12.831549000000001</v>
      </c>
      <c r="D19">
        <v>412</v>
      </c>
      <c r="I19" s="46"/>
    </row>
    <row r="20" spans="2:9" x14ac:dyDescent="0.25">
      <c r="B20" t="s">
        <v>518</v>
      </c>
      <c r="C20" s="46">
        <v>6.484229</v>
      </c>
      <c r="D20">
        <v>140</v>
      </c>
      <c r="I20" s="46"/>
    </row>
    <row r="21" spans="2:9" x14ac:dyDescent="0.25">
      <c r="B21" t="s">
        <v>531</v>
      </c>
      <c r="C21" s="46">
        <v>3.046869</v>
      </c>
      <c r="D21">
        <v>40</v>
      </c>
      <c r="I21" s="46"/>
    </row>
    <row r="22" spans="2:9" x14ac:dyDescent="0.25">
      <c r="B22" t="s">
        <v>528</v>
      </c>
      <c r="C22" s="46">
        <v>2.853132</v>
      </c>
      <c r="D22">
        <v>45</v>
      </c>
      <c r="I22" s="46"/>
    </row>
    <row r="23" spans="2:9" x14ac:dyDescent="0.25">
      <c r="B23" t="s">
        <v>527</v>
      </c>
      <c r="C23" s="46">
        <v>4.3393490000000003</v>
      </c>
      <c r="D23">
        <v>47</v>
      </c>
      <c r="I23" s="46"/>
    </row>
    <row r="24" spans="2:9" x14ac:dyDescent="0.25">
      <c r="B24" t="s">
        <v>530</v>
      </c>
      <c r="C24" s="46">
        <v>4.5334789999999998</v>
      </c>
      <c r="D24">
        <v>42</v>
      </c>
      <c r="I24" s="46"/>
    </row>
    <row r="25" spans="2:9" x14ac:dyDescent="0.25">
      <c r="B25" t="s">
        <v>540</v>
      </c>
      <c r="C25" s="46">
        <v>1.3283609999999999</v>
      </c>
      <c r="D25">
        <v>16</v>
      </c>
      <c r="I25" s="46"/>
    </row>
    <row r="26" spans="2:9" x14ac:dyDescent="0.25">
      <c r="B26" t="s">
        <v>515</v>
      </c>
      <c r="C26" s="46">
        <v>5.7737850000000002</v>
      </c>
      <c r="D26">
        <v>156</v>
      </c>
      <c r="I26" s="46"/>
    </row>
    <row r="27" spans="2:9" x14ac:dyDescent="0.25">
      <c r="B27" t="s">
        <v>516</v>
      </c>
      <c r="C27" s="46">
        <v>6.5478170000000002</v>
      </c>
      <c r="D27">
        <v>155</v>
      </c>
      <c r="I27" s="46"/>
    </row>
    <row r="28" spans="2:9" x14ac:dyDescent="0.25">
      <c r="B28" t="s">
        <v>514</v>
      </c>
      <c r="C28" s="46">
        <v>9.8841289999999997</v>
      </c>
      <c r="D28">
        <v>158</v>
      </c>
      <c r="I28" s="46"/>
    </row>
    <row r="29" spans="2:9" x14ac:dyDescent="0.25">
      <c r="B29" t="s">
        <v>520</v>
      </c>
      <c r="C29" s="46">
        <v>5.3039249999999996</v>
      </c>
      <c r="D29">
        <v>115</v>
      </c>
      <c r="I29" s="46"/>
    </row>
    <row r="30" spans="2:9" x14ac:dyDescent="0.25">
      <c r="B30" t="s">
        <v>538</v>
      </c>
      <c r="C30" s="46">
        <v>2.9681030000000002</v>
      </c>
      <c r="D30">
        <v>19</v>
      </c>
      <c r="I30" s="46"/>
    </row>
    <row r="31" spans="2:9" x14ac:dyDescent="0.25">
      <c r="B31" t="s">
        <v>521</v>
      </c>
      <c r="C31" s="46">
        <v>5.9889270000000003</v>
      </c>
      <c r="D31">
        <v>90</v>
      </c>
      <c r="I31" s="46"/>
    </row>
    <row r="32" spans="2:9" x14ac:dyDescent="0.25">
      <c r="B32" t="s">
        <v>545</v>
      </c>
      <c r="C32" s="46">
        <v>0.98941699999999999</v>
      </c>
      <c r="D32">
        <v>13</v>
      </c>
      <c r="I32" s="46"/>
    </row>
    <row r="33" spans="2:9" x14ac:dyDescent="0.25">
      <c r="B33" t="s">
        <v>537</v>
      </c>
      <c r="C33" s="46">
        <v>1.826341</v>
      </c>
      <c r="D33">
        <v>25</v>
      </c>
      <c r="I33" s="46"/>
    </row>
    <row r="34" spans="2:9" x14ac:dyDescent="0.25">
      <c r="B34" t="s">
        <v>511</v>
      </c>
      <c r="C34" s="46">
        <v>2.700691</v>
      </c>
      <c r="D34">
        <v>193</v>
      </c>
      <c r="I34" s="46"/>
    </row>
    <row r="35" spans="2:9" x14ac:dyDescent="0.25">
      <c r="B35" t="s">
        <v>547</v>
      </c>
      <c r="C35" s="46">
        <v>1.3164659999999999</v>
      </c>
      <c r="D35">
        <v>11</v>
      </c>
      <c r="I35" s="46"/>
    </row>
    <row r="36" spans="2:9" x14ac:dyDescent="0.25">
      <c r="B36" t="s">
        <v>517</v>
      </c>
      <c r="C36" s="46">
        <v>8.7919359999999998</v>
      </c>
      <c r="D36">
        <v>146</v>
      </c>
      <c r="I36" s="46"/>
    </row>
    <row r="37" spans="2:9" x14ac:dyDescent="0.25">
      <c r="B37" t="s">
        <v>534</v>
      </c>
      <c r="C37" s="46">
        <v>2.0591919999999999</v>
      </c>
      <c r="D37">
        <v>38</v>
      </c>
      <c r="I37" s="46"/>
    </row>
    <row r="38" spans="2:9" x14ac:dyDescent="0.25">
      <c r="B38" t="s">
        <v>504</v>
      </c>
      <c r="C38" s="46">
        <v>19.378087000000001</v>
      </c>
      <c r="D38">
        <v>384</v>
      </c>
      <c r="I38" s="46"/>
    </row>
    <row r="39" spans="2:9" x14ac:dyDescent="0.25">
      <c r="B39" t="s">
        <v>519</v>
      </c>
      <c r="C39" s="46">
        <v>9.5356919999999992</v>
      </c>
      <c r="D39">
        <v>132</v>
      </c>
      <c r="I39" s="46"/>
    </row>
    <row r="40" spans="2:9" x14ac:dyDescent="0.25">
      <c r="B40" t="s">
        <v>546</v>
      </c>
      <c r="C40" s="46">
        <v>0.67259100000000005</v>
      </c>
      <c r="D40">
        <v>12</v>
      </c>
      <c r="I40" s="46"/>
    </row>
    <row r="41" spans="2:9" x14ac:dyDescent="0.25">
      <c r="B41" t="s">
        <v>510</v>
      </c>
      <c r="C41" s="46">
        <v>11.536725000000001</v>
      </c>
      <c r="D41">
        <v>203</v>
      </c>
      <c r="I41" s="46"/>
    </row>
    <row r="42" spans="2:9" x14ac:dyDescent="0.25">
      <c r="B42" t="s">
        <v>535</v>
      </c>
      <c r="C42" s="46">
        <v>3.7516159999999998</v>
      </c>
      <c r="D42">
        <v>34</v>
      </c>
      <c r="I42" s="46"/>
    </row>
    <row r="43" spans="2:9" x14ac:dyDescent="0.25">
      <c r="B43" t="s">
        <v>508</v>
      </c>
      <c r="C43" s="46">
        <v>3.831073</v>
      </c>
      <c r="D43">
        <v>243</v>
      </c>
      <c r="I43" s="46"/>
    </row>
    <row r="44" spans="2:9" x14ac:dyDescent="0.25">
      <c r="B44" t="s">
        <v>512</v>
      </c>
      <c r="C44" s="46">
        <v>12.702887</v>
      </c>
      <c r="D44">
        <v>183</v>
      </c>
      <c r="I44" s="46"/>
    </row>
    <row r="45" spans="2:9" x14ac:dyDescent="0.25">
      <c r="B45" t="s">
        <v>542</v>
      </c>
      <c r="C45" s="46">
        <v>1.0529310000000001</v>
      </c>
      <c r="D45">
        <v>14</v>
      </c>
      <c r="I45" s="46"/>
    </row>
    <row r="46" spans="2:9" x14ac:dyDescent="0.25">
      <c r="B46" t="s">
        <v>526</v>
      </c>
      <c r="C46" s="46">
        <v>4.6254010000000001</v>
      </c>
      <c r="D46">
        <v>49</v>
      </c>
      <c r="I46" s="46"/>
    </row>
    <row r="47" spans="2:9" x14ac:dyDescent="0.25">
      <c r="B47" t="s">
        <v>544</v>
      </c>
      <c r="C47" s="46">
        <v>0.814191</v>
      </c>
      <c r="D47">
        <v>13</v>
      </c>
      <c r="I47" s="46"/>
    </row>
    <row r="48" spans="2:9" x14ac:dyDescent="0.25">
      <c r="B48" t="s">
        <v>522</v>
      </c>
      <c r="C48" s="46">
        <v>6.3462750000000003</v>
      </c>
      <c r="D48">
        <v>87</v>
      </c>
      <c r="I48" s="46"/>
    </row>
    <row r="49" spans="2:9" x14ac:dyDescent="0.25">
      <c r="B49" t="s">
        <v>501</v>
      </c>
      <c r="C49" s="46">
        <v>25.146104999999999</v>
      </c>
      <c r="D49">
        <v>604</v>
      </c>
      <c r="I49" s="46"/>
    </row>
    <row r="50" spans="2:9" x14ac:dyDescent="0.25">
      <c r="B50" t="s">
        <v>529</v>
      </c>
      <c r="C50" s="46">
        <v>2.7638880000000001</v>
      </c>
      <c r="D50">
        <v>44</v>
      </c>
      <c r="I50" s="46"/>
    </row>
    <row r="51" spans="2:9" x14ac:dyDescent="0.25">
      <c r="B51" t="s">
        <v>549</v>
      </c>
      <c r="C51" s="46">
        <v>0.625745</v>
      </c>
      <c r="D51">
        <v>4</v>
      </c>
      <c r="I51" s="46"/>
    </row>
    <row r="52" spans="2:9" x14ac:dyDescent="0.25">
      <c r="B52" t="s">
        <v>509</v>
      </c>
      <c r="C52" s="46">
        <v>8.0010449999999995</v>
      </c>
      <c r="D52">
        <v>241</v>
      </c>
      <c r="I52" s="46"/>
    </row>
    <row r="53" spans="2:9" x14ac:dyDescent="0.25">
      <c r="B53" t="s">
        <v>502</v>
      </c>
      <c r="C53" s="46">
        <v>6.7245429999999997</v>
      </c>
      <c r="D53">
        <v>559</v>
      </c>
      <c r="I53" s="46"/>
    </row>
    <row r="54" spans="2:9" x14ac:dyDescent="0.25">
      <c r="B54" t="s">
        <v>543</v>
      </c>
      <c r="C54" s="46">
        <v>1.853011</v>
      </c>
      <c r="D54">
        <v>13</v>
      </c>
      <c r="I54" s="46"/>
    </row>
    <row r="55" spans="2:9" x14ac:dyDescent="0.25">
      <c r="B55" t="s">
        <v>523</v>
      </c>
      <c r="C55" s="46">
        <v>5.6872889999999998</v>
      </c>
      <c r="D55">
        <v>83</v>
      </c>
      <c r="I55" s="46"/>
    </row>
    <row r="56" spans="2:9" x14ac:dyDescent="0.25">
      <c r="B56" t="s">
        <v>548</v>
      </c>
      <c r="C56" s="46">
        <v>0.56376700000000002</v>
      </c>
      <c r="D56">
        <v>9</v>
      </c>
      <c r="I56" s="46"/>
    </row>
  </sheetData>
  <mergeCells count="1">
    <mergeCell ref="A1:N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zoomScale="70" zoomScaleNormal="70" workbookViewId="0">
      <selection activeCell="E17" sqref="E17"/>
    </sheetView>
  </sheetViews>
  <sheetFormatPr defaultRowHeight="15" x14ac:dyDescent="0.25"/>
  <cols>
    <col min="4" max="5" width="16" customWidth="1"/>
    <col min="6" max="6" width="18.7109375" customWidth="1"/>
    <col min="7" max="7" width="10.140625" customWidth="1"/>
    <col min="8" max="8" width="12.140625" customWidth="1"/>
    <col min="9" max="9" width="16.7109375" customWidth="1"/>
  </cols>
  <sheetData>
    <row r="1" spans="1:14" x14ac:dyDescent="0.25">
      <c r="A1" s="264" t="s">
        <v>579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3" spans="1:14" ht="15.75" thickBot="1" x14ac:dyDescent="0.3"/>
    <row r="4" spans="1:14" ht="47.25" customHeight="1" thickTop="1" x14ac:dyDescent="0.25">
      <c r="D4" s="2" t="s">
        <v>0</v>
      </c>
      <c r="E4" s="7" t="s">
        <v>1</v>
      </c>
      <c r="F4" s="12" t="s">
        <v>3</v>
      </c>
      <c r="G4" s="7"/>
      <c r="H4" s="12" t="s">
        <v>36</v>
      </c>
      <c r="I4" s="8" t="s">
        <v>37</v>
      </c>
      <c r="K4" s="18" t="s">
        <v>6</v>
      </c>
      <c r="M4" s="18" t="s">
        <v>38</v>
      </c>
    </row>
    <row r="5" spans="1:14" x14ac:dyDescent="0.25">
      <c r="D5" s="42">
        <v>1.0000000000000001E-9</v>
      </c>
      <c r="E5" s="43">
        <f>D5^2</f>
        <v>1.0000000000000001E-18</v>
      </c>
      <c r="F5" s="9">
        <f>(E5-$E$13)^2</f>
        <v>169</v>
      </c>
      <c r="G5" s="9"/>
      <c r="H5" s="43">
        <f>6*D5-5</f>
        <v>-4.9999999940000004</v>
      </c>
      <c r="I5" s="44">
        <f>(H5-E5)^2</f>
        <v>24.999999940000006</v>
      </c>
      <c r="K5">
        <f>E13</f>
        <v>13</v>
      </c>
      <c r="M5">
        <v>0</v>
      </c>
    </row>
    <row r="6" spans="1:14" x14ac:dyDescent="0.25">
      <c r="D6" s="4">
        <v>1</v>
      </c>
      <c r="E6" s="9">
        <f t="shared" ref="E6:E11" si="0">D6^2</f>
        <v>1</v>
      </c>
      <c r="F6" s="9">
        <f t="shared" ref="F6:F11" si="1">(E6-$E$13)^2</f>
        <v>144</v>
      </c>
      <c r="G6" s="9"/>
      <c r="H6" s="9">
        <f t="shared" ref="H6:H11" si="2">6*D6-5</f>
        <v>1</v>
      </c>
      <c r="I6" s="5">
        <f t="shared" ref="I6:I11" si="3">(H6-E6)^2</f>
        <v>0</v>
      </c>
      <c r="M6">
        <v>0</v>
      </c>
    </row>
    <row r="7" spans="1:14" x14ac:dyDescent="0.25">
      <c r="D7" s="4">
        <v>2</v>
      </c>
      <c r="E7" s="9">
        <f t="shared" si="0"/>
        <v>4</v>
      </c>
      <c r="F7" s="9">
        <f t="shared" si="1"/>
        <v>81</v>
      </c>
      <c r="G7" s="9"/>
      <c r="H7" s="9">
        <f t="shared" si="2"/>
        <v>7</v>
      </c>
      <c r="I7" s="5">
        <f t="shared" si="3"/>
        <v>9</v>
      </c>
      <c r="M7">
        <v>0</v>
      </c>
    </row>
    <row r="8" spans="1:14" x14ac:dyDescent="0.25">
      <c r="D8" s="4">
        <v>3</v>
      </c>
      <c r="E8" s="9">
        <f t="shared" si="0"/>
        <v>9</v>
      </c>
      <c r="F8" s="9">
        <f t="shared" si="1"/>
        <v>16</v>
      </c>
      <c r="G8" s="9"/>
      <c r="H8" s="9">
        <f t="shared" si="2"/>
        <v>13</v>
      </c>
      <c r="I8" s="5">
        <f t="shared" si="3"/>
        <v>16</v>
      </c>
      <c r="M8">
        <v>0</v>
      </c>
    </row>
    <row r="9" spans="1:14" x14ac:dyDescent="0.25">
      <c r="D9" s="4">
        <v>4</v>
      </c>
      <c r="E9" s="9">
        <f t="shared" si="0"/>
        <v>16</v>
      </c>
      <c r="F9" s="9">
        <f t="shared" si="1"/>
        <v>9</v>
      </c>
      <c r="G9" s="9"/>
      <c r="H9" s="9">
        <f t="shared" si="2"/>
        <v>19</v>
      </c>
      <c r="I9" s="5">
        <f t="shared" si="3"/>
        <v>9</v>
      </c>
      <c r="M9">
        <v>0</v>
      </c>
    </row>
    <row r="10" spans="1:14" x14ac:dyDescent="0.25">
      <c r="D10" s="4">
        <v>5</v>
      </c>
      <c r="E10" s="9">
        <f t="shared" si="0"/>
        <v>25</v>
      </c>
      <c r="F10" s="9">
        <f t="shared" si="1"/>
        <v>144</v>
      </c>
      <c r="G10" s="9"/>
      <c r="H10" s="9">
        <f t="shared" si="2"/>
        <v>25</v>
      </c>
      <c r="I10" s="5">
        <f t="shared" si="3"/>
        <v>0</v>
      </c>
      <c r="M10">
        <v>0</v>
      </c>
    </row>
    <row r="11" spans="1:14" x14ac:dyDescent="0.25">
      <c r="D11" s="4">
        <v>6</v>
      </c>
      <c r="E11" s="9">
        <f t="shared" si="0"/>
        <v>36</v>
      </c>
      <c r="F11" s="9">
        <f t="shared" si="1"/>
        <v>529</v>
      </c>
      <c r="G11" s="9"/>
      <c r="H11" s="9">
        <f t="shared" si="2"/>
        <v>31</v>
      </c>
      <c r="I11" s="5">
        <f t="shared" si="3"/>
        <v>25</v>
      </c>
      <c r="K11">
        <f>E13</f>
        <v>13</v>
      </c>
      <c r="M11">
        <v>0</v>
      </c>
    </row>
    <row r="12" spans="1:14" ht="15.75" thickBot="1" x14ac:dyDescent="0.3">
      <c r="D12" s="13"/>
      <c r="E12" s="14"/>
      <c r="F12" s="14"/>
      <c r="G12" s="15"/>
      <c r="H12" s="14"/>
      <c r="I12" s="16"/>
    </row>
    <row r="13" spans="1:14" ht="15.75" thickTop="1" x14ac:dyDescent="0.25">
      <c r="D13" s="2" t="s">
        <v>2</v>
      </c>
      <c r="E13" s="7">
        <f>AVERAGE(E5:E11)</f>
        <v>13</v>
      </c>
      <c r="F13" s="7"/>
      <c r="G13" s="17"/>
      <c r="H13" s="7"/>
      <c r="I13" s="3"/>
    </row>
    <row r="14" spans="1:14" ht="15.75" thickBot="1" x14ac:dyDescent="0.3">
      <c r="D14" s="6" t="s">
        <v>4</v>
      </c>
      <c r="E14" s="11"/>
      <c r="F14" s="10">
        <f>SUM(F5:F11)</f>
        <v>1092</v>
      </c>
      <c r="G14" s="11"/>
      <c r="H14" s="10"/>
      <c r="I14" s="41">
        <f>SUM(I5:I11)</f>
        <v>83.999999940000009</v>
      </c>
    </row>
    <row r="15" spans="1:14" ht="16.5" thickTop="1" thickBot="1" x14ac:dyDescent="0.3">
      <c r="D15" s="1"/>
      <c r="E15" s="1"/>
    </row>
    <row r="16" spans="1:14" ht="16.5" thickTop="1" thickBot="1" x14ac:dyDescent="0.3">
      <c r="D16" s="1"/>
      <c r="E16" s="1"/>
      <c r="H16" s="200" t="s">
        <v>5</v>
      </c>
      <c r="I16" s="198">
        <f>1-(I14/F14)</f>
        <v>0.92307692313186807</v>
      </c>
    </row>
    <row r="17" spans="4:9" ht="15.75" thickTop="1" x14ac:dyDescent="0.25">
      <c r="D17" s="1"/>
      <c r="E17" s="1"/>
    </row>
    <row r="18" spans="4:9" x14ac:dyDescent="0.25">
      <c r="D18" s="1"/>
      <c r="E18" s="1"/>
      <c r="I18">
        <f>I14/F14</f>
        <v>7.6923076868131879E-2</v>
      </c>
    </row>
    <row r="19" spans="4:9" x14ac:dyDescent="0.25">
      <c r="D19" s="1"/>
      <c r="E19" s="1"/>
    </row>
  </sheetData>
  <mergeCells count="1">
    <mergeCell ref="A1:N1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showGridLines="0" zoomScale="70" zoomScaleNormal="70" workbookViewId="0">
      <selection activeCell="AD8" sqref="AD8"/>
    </sheetView>
  </sheetViews>
  <sheetFormatPr defaultRowHeight="15" x14ac:dyDescent="0.25"/>
  <cols>
    <col min="18" max="20" width="16.28515625" customWidth="1"/>
  </cols>
  <sheetData>
    <row r="1" spans="1:20" ht="33" customHeight="1" x14ac:dyDescent="0.25">
      <c r="A1" s="264" t="s">
        <v>581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7" spans="1:20" ht="21" x14ac:dyDescent="0.35">
      <c r="E7" s="49" t="s">
        <v>7</v>
      </c>
      <c r="F7" s="49" t="s">
        <v>8</v>
      </c>
      <c r="R7" t="s">
        <v>0</v>
      </c>
      <c r="S7" t="s">
        <v>496</v>
      </c>
      <c r="T7" t="s">
        <v>497</v>
      </c>
    </row>
    <row r="8" spans="1:20" ht="21" x14ac:dyDescent="0.35">
      <c r="E8" s="49">
        <v>1</v>
      </c>
      <c r="F8" s="49">
        <v>5</v>
      </c>
      <c r="R8" s="153">
        <v>-5</v>
      </c>
      <c r="S8" s="153">
        <f>ABS(R8)</f>
        <v>5</v>
      </c>
      <c r="T8" s="153"/>
    </row>
    <row r="9" spans="1:20" ht="21" x14ac:dyDescent="0.35">
      <c r="E9" s="49">
        <v>2</v>
      </c>
      <c r="F9" s="49">
        <v>5</v>
      </c>
      <c r="R9" s="153">
        <f>R8+1</f>
        <v>-4</v>
      </c>
      <c r="S9" s="153">
        <f t="shared" ref="S9:S18" si="0">ABS(R9)</f>
        <v>4</v>
      </c>
      <c r="T9" s="153"/>
    </row>
    <row r="10" spans="1:20" ht="21" x14ac:dyDescent="0.35">
      <c r="E10" s="49">
        <v>3</v>
      </c>
      <c r="F10" s="49">
        <v>5</v>
      </c>
      <c r="R10" s="153">
        <f t="shared" ref="R10:R18" si="1">R9+1</f>
        <v>-3</v>
      </c>
      <c r="S10" s="153">
        <f t="shared" si="0"/>
        <v>3</v>
      </c>
      <c r="T10" s="153">
        <f t="shared" ref="T10:T16" si="2">R10^2</f>
        <v>9</v>
      </c>
    </row>
    <row r="11" spans="1:20" ht="21" x14ac:dyDescent="0.35">
      <c r="E11" s="49">
        <v>4</v>
      </c>
      <c r="F11" s="49">
        <v>5</v>
      </c>
      <c r="R11" s="153">
        <f t="shared" si="1"/>
        <v>-2</v>
      </c>
      <c r="S11" s="153">
        <f t="shared" si="0"/>
        <v>2</v>
      </c>
      <c r="T11" s="153">
        <f t="shared" si="2"/>
        <v>4</v>
      </c>
    </row>
    <row r="12" spans="1:20" ht="21" x14ac:dyDescent="0.35">
      <c r="E12" s="49">
        <v>5</v>
      </c>
      <c r="F12" s="49">
        <v>5</v>
      </c>
      <c r="R12" s="153">
        <f t="shared" si="1"/>
        <v>-1</v>
      </c>
      <c r="S12" s="153">
        <f t="shared" si="0"/>
        <v>1</v>
      </c>
      <c r="T12" s="153">
        <f t="shared" si="2"/>
        <v>1</v>
      </c>
    </row>
    <row r="13" spans="1:20" ht="21" x14ac:dyDescent="0.35">
      <c r="E13" s="49">
        <v>6</v>
      </c>
      <c r="F13" s="49">
        <v>5</v>
      </c>
      <c r="R13" s="153">
        <f t="shared" si="1"/>
        <v>0</v>
      </c>
      <c r="S13" s="153">
        <f t="shared" si="0"/>
        <v>0</v>
      </c>
      <c r="T13" s="153">
        <f t="shared" si="2"/>
        <v>0</v>
      </c>
    </row>
    <row r="14" spans="1:20" ht="21" x14ac:dyDescent="0.35">
      <c r="E14" s="49">
        <v>7</v>
      </c>
      <c r="F14" s="49">
        <v>5</v>
      </c>
      <c r="R14" s="153">
        <f t="shared" si="1"/>
        <v>1</v>
      </c>
      <c r="S14" s="153">
        <f t="shared" si="0"/>
        <v>1</v>
      </c>
      <c r="T14" s="153">
        <f t="shared" si="2"/>
        <v>1</v>
      </c>
    </row>
    <row r="15" spans="1:20" ht="21" x14ac:dyDescent="0.35">
      <c r="E15" s="49">
        <v>8</v>
      </c>
      <c r="F15" s="49">
        <v>5</v>
      </c>
      <c r="R15" s="153">
        <f t="shared" si="1"/>
        <v>2</v>
      </c>
      <c r="S15" s="153">
        <f t="shared" si="0"/>
        <v>2</v>
      </c>
      <c r="T15" s="153">
        <f t="shared" si="2"/>
        <v>4</v>
      </c>
    </row>
    <row r="16" spans="1:20" ht="21" x14ac:dyDescent="0.35">
      <c r="E16" s="49">
        <v>9</v>
      </c>
      <c r="F16" s="49">
        <v>5</v>
      </c>
      <c r="R16" s="153">
        <f t="shared" si="1"/>
        <v>3</v>
      </c>
      <c r="S16" s="153">
        <f t="shared" si="0"/>
        <v>3</v>
      </c>
      <c r="T16" s="153">
        <f t="shared" si="2"/>
        <v>9</v>
      </c>
    </row>
    <row r="17" spans="5:20" ht="21" x14ac:dyDescent="0.35">
      <c r="E17" s="49">
        <v>10</v>
      </c>
      <c r="F17" s="49">
        <v>5</v>
      </c>
      <c r="R17" s="153">
        <f t="shared" si="1"/>
        <v>4</v>
      </c>
      <c r="S17" s="153">
        <f t="shared" si="0"/>
        <v>4</v>
      </c>
      <c r="T17" s="153"/>
    </row>
    <row r="18" spans="5:20" x14ac:dyDescent="0.25">
      <c r="R18" s="153">
        <f t="shared" si="1"/>
        <v>5</v>
      </c>
      <c r="S18" s="153">
        <f t="shared" si="0"/>
        <v>5</v>
      </c>
      <c r="T18" s="153"/>
    </row>
    <row r="19" spans="5:20" x14ac:dyDescent="0.25">
      <c r="R19" s="153"/>
      <c r="S19" s="153"/>
      <c r="T19" s="153"/>
    </row>
    <row r="20" spans="5:20" x14ac:dyDescent="0.25">
      <c r="R20" s="153"/>
      <c r="S20" s="153"/>
      <c r="T20" s="153"/>
    </row>
    <row r="21" spans="5:20" x14ac:dyDescent="0.25">
      <c r="R21" s="153"/>
      <c r="S21" s="153"/>
      <c r="T21" s="153"/>
    </row>
    <row r="22" spans="5:20" x14ac:dyDescent="0.25">
      <c r="R22" s="153"/>
      <c r="S22" s="153"/>
      <c r="T22" s="153"/>
    </row>
    <row r="23" spans="5:20" x14ac:dyDescent="0.25">
      <c r="R23" s="153"/>
      <c r="S23" s="153"/>
      <c r="T23" s="153"/>
    </row>
  </sheetData>
  <mergeCells count="1">
    <mergeCell ref="A1:N1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zoomScale="80" zoomScaleNormal="80" workbookViewId="0">
      <selection activeCell="A2" sqref="A2"/>
    </sheetView>
  </sheetViews>
  <sheetFormatPr defaultRowHeight="15" x14ac:dyDescent="0.25"/>
  <cols>
    <col min="1" max="1" width="22.85546875" customWidth="1"/>
    <col min="2" max="2" width="19.140625" bestFit="1" customWidth="1"/>
    <col min="3" max="3" width="10.140625" bestFit="1" customWidth="1"/>
    <col min="4" max="4" width="23.42578125" bestFit="1" customWidth="1"/>
    <col min="5" max="5" width="19.42578125" customWidth="1"/>
  </cols>
  <sheetData>
    <row r="1" spans="1:14" ht="29.25" customHeight="1" x14ac:dyDescent="0.25">
      <c r="A1" s="264" t="s">
        <v>598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3" spans="1:14" x14ac:dyDescent="0.25">
      <c r="A3" t="s">
        <v>596</v>
      </c>
      <c r="B3" t="s">
        <v>39</v>
      </c>
    </row>
    <row r="5" spans="1:14" ht="15.75" thickBot="1" x14ac:dyDescent="0.3">
      <c r="A5" s="45" t="s">
        <v>597</v>
      </c>
    </row>
    <row r="6" spans="1:14" ht="16.5" thickTop="1" thickBot="1" x14ac:dyDescent="0.3">
      <c r="D6" s="200" t="s">
        <v>95</v>
      </c>
      <c r="E6" s="203">
        <f>1-E10/D10</f>
        <v>-6.4867614487187142E-2</v>
      </c>
    </row>
    <row r="7" spans="1:14" ht="15.75" thickTop="1" x14ac:dyDescent="0.25"/>
    <row r="8" spans="1:14" x14ac:dyDescent="0.25">
      <c r="A8" t="s">
        <v>22</v>
      </c>
      <c r="B8" s="46">
        <f>AVERAGE(B13:B62)</f>
        <v>6.163126759999999</v>
      </c>
    </row>
    <row r="9" spans="1:14" x14ac:dyDescent="0.25">
      <c r="A9" t="s">
        <v>91</v>
      </c>
      <c r="B9" s="46">
        <f>MEDIAN(B13:B62)</f>
        <v>4.4364140000000001</v>
      </c>
    </row>
    <row r="10" spans="1:14" x14ac:dyDescent="0.25">
      <c r="C10" t="s">
        <v>4</v>
      </c>
      <c r="D10" s="47">
        <f>SUM(D13:D62)</f>
        <v>2298.1706504219728</v>
      </c>
      <c r="E10" s="47">
        <f>SUM(E13:E62)</f>
        <v>2447.2474981993137</v>
      </c>
    </row>
    <row r="12" spans="1:14" x14ac:dyDescent="0.25">
      <c r="A12" s="1" t="s">
        <v>90</v>
      </c>
      <c r="B12" s="1" t="s">
        <v>93</v>
      </c>
      <c r="D12" t="s">
        <v>92</v>
      </c>
      <c r="E12" t="s">
        <v>94</v>
      </c>
    </row>
    <row r="13" spans="1:14" x14ac:dyDescent="0.25">
      <c r="A13" t="s">
        <v>40</v>
      </c>
      <c r="B13" s="46">
        <v>37.254503</v>
      </c>
      <c r="D13" s="48">
        <f>(B13-$B$8)^2</f>
        <v>966.67367649723667</v>
      </c>
      <c r="E13" s="48">
        <f>(B13-$B$9)^2</f>
        <v>1077.026965611921</v>
      </c>
      <c r="F13" s="19"/>
    </row>
    <row r="14" spans="1:14" x14ac:dyDescent="0.25">
      <c r="A14" t="s">
        <v>41</v>
      </c>
      <c r="B14" s="46">
        <v>25.146104999999999</v>
      </c>
      <c r="D14" s="48">
        <f t="shared" ref="D14:D62" si="0">(B14-$B$8)^2</f>
        <v>360.35346286031353</v>
      </c>
      <c r="E14" s="48">
        <f t="shared" ref="E14:E62" si="1">(B14-$B$9)^2</f>
        <v>428.89130131548097</v>
      </c>
      <c r="F14" s="19"/>
    </row>
    <row r="15" spans="1:14" x14ac:dyDescent="0.25">
      <c r="A15" t="s">
        <v>42</v>
      </c>
      <c r="B15" s="46">
        <v>18.804622999999999</v>
      </c>
      <c r="D15" s="48">
        <f t="shared" si="0"/>
        <v>159.80742718593416</v>
      </c>
      <c r="E15" s="48">
        <f t="shared" si="1"/>
        <v>206.44542986768101</v>
      </c>
      <c r="F15" s="19"/>
    </row>
    <row r="16" spans="1:14" x14ac:dyDescent="0.25">
      <c r="A16" t="s">
        <v>43</v>
      </c>
      <c r="B16" s="46">
        <v>19.378087000000001</v>
      </c>
      <c r="D16" s="48">
        <f t="shared" si="0"/>
        <v>174.6351741447809</v>
      </c>
      <c r="E16" s="48">
        <f t="shared" si="1"/>
        <v>223.25359203892904</v>
      </c>
      <c r="F16" s="19"/>
    </row>
    <row r="17" spans="1:6" x14ac:dyDescent="0.25">
      <c r="A17" t="s">
        <v>44</v>
      </c>
      <c r="B17" s="46">
        <v>12.831549000000001</v>
      </c>
      <c r="D17" s="48">
        <f t="shared" si="0"/>
        <v>44.46785517092664</v>
      </c>
      <c r="E17" s="48">
        <f t="shared" si="1"/>
        <v>70.478291668224998</v>
      </c>
      <c r="F17" s="19"/>
    </row>
    <row r="18" spans="1:6" x14ac:dyDescent="0.25">
      <c r="A18" t="s">
        <v>45</v>
      </c>
      <c r="B18" s="46">
        <v>12.702887</v>
      </c>
      <c r="D18" s="48">
        <f t="shared" si="0"/>
        <v>42.768463996684879</v>
      </c>
      <c r="E18" s="48">
        <f t="shared" si="1"/>
        <v>68.334575859729014</v>
      </c>
      <c r="F18" s="19"/>
    </row>
    <row r="19" spans="1:6" x14ac:dyDescent="0.25">
      <c r="A19" t="s">
        <v>46</v>
      </c>
      <c r="B19" s="46">
        <v>11.536725000000001</v>
      </c>
      <c r="D19" s="48">
        <f t="shared" si="0"/>
        <v>28.875558044931115</v>
      </c>
      <c r="E19" s="48">
        <f t="shared" si="1"/>
        <v>50.414416296721008</v>
      </c>
      <c r="F19" s="19"/>
    </row>
    <row r="20" spans="1:6" x14ac:dyDescent="0.25">
      <c r="A20" t="s">
        <v>47</v>
      </c>
      <c r="B20" s="46">
        <v>9.6886810000000008</v>
      </c>
      <c r="D20" s="48">
        <f t="shared" si="0"/>
        <v>12.429532699181991</v>
      </c>
      <c r="E20" s="48">
        <f t="shared" si="1"/>
        <v>27.586308639289008</v>
      </c>
      <c r="F20" s="19"/>
    </row>
    <row r="21" spans="1:6" x14ac:dyDescent="0.25">
      <c r="A21" t="s">
        <v>48</v>
      </c>
      <c r="B21" s="46">
        <v>9.5356919999999992</v>
      </c>
      <c r="D21" s="48">
        <f t="shared" si="0"/>
        <v>11.374196298056258</v>
      </c>
      <c r="E21" s="48">
        <f t="shared" si="1"/>
        <v>26.002636121283992</v>
      </c>
      <c r="F21" s="19"/>
    </row>
    <row r="22" spans="1:6" x14ac:dyDescent="0.25">
      <c r="A22" t="s">
        <v>49</v>
      </c>
      <c r="B22" s="46">
        <v>9.8841289999999997</v>
      </c>
      <c r="D22" s="48">
        <f t="shared" si="0"/>
        <v>13.845857670085023</v>
      </c>
      <c r="E22" s="48">
        <f t="shared" si="1"/>
        <v>29.677598721224996</v>
      </c>
      <c r="F22" s="19"/>
    </row>
    <row r="23" spans="1:6" x14ac:dyDescent="0.25">
      <c r="A23" t="s">
        <v>50</v>
      </c>
      <c r="B23" s="46">
        <v>8.7919359999999998</v>
      </c>
      <c r="D23" s="48">
        <f t="shared" si="0"/>
        <v>6.9106380203093813</v>
      </c>
      <c r="E23" s="48">
        <f t="shared" si="1"/>
        <v>18.970571892483996</v>
      </c>
      <c r="F23" s="19"/>
    </row>
    <row r="24" spans="1:6" x14ac:dyDescent="0.25">
      <c r="A24" t="s">
        <v>51</v>
      </c>
      <c r="B24" s="46">
        <v>8.0010449999999995</v>
      </c>
      <c r="D24" s="48">
        <f t="shared" si="0"/>
        <v>3.3779434569246996</v>
      </c>
      <c r="E24" s="48">
        <f t="shared" si="1"/>
        <v>12.706594166160995</v>
      </c>
      <c r="F24" s="19"/>
    </row>
    <row r="25" spans="1:6" x14ac:dyDescent="0.25">
      <c r="A25" t="s">
        <v>52</v>
      </c>
      <c r="B25" s="46">
        <v>6.7245429999999997</v>
      </c>
      <c r="D25" s="48">
        <f t="shared" si="0"/>
        <v>0.31518819453573838</v>
      </c>
      <c r="E25" s="48">
        <f t="shared" si="1"/>
        <v>5.2355343206409986</v>
      </c>
      <c r="F25" s="19"/>
    </row>
    <row r="26" spans="1:6" x14ac:dyDescent="0.25">
      <c r="A26" t="s">
        <v>53</v>
      </c>
      <c r="B26" s="46">
        <v>6.3923069999999997</v>
      </c>
      <c r="D26" s="48">
        <f t="shared" si="0"/>
        <v>5.2523582406457922E-2</v>
      </c>
      <c r="E26" s="48">
        <f t="shared" si="1"/>
        <v>3.8255174274489985</v>
      </c>
      <c r="F26" s="19"/>
    </row>
    <row r="27" spans="1:6" x14ac:dyDescent="0.25">
      <c r="A27" t="s">
        <v>54</v>
      </c>
      <c r="B27" s="46">
        <v>6.5478170000000002</v>
      </c>
      <c r="D27" s="48">
        <f t="shared" si="0"/>
        <v>0.14798658075125851</v>
      </c>
      <c r="E27" s="48">
        <f t="shared" si="1"/>
        <v>4.458022628409001</v>
      </c>
      <c r="F27" s="19"/>
    </row>
    <row r="28" spans="1:6" x14ac:dyDescent="0.25">
      <c r="A28" t="s">
        <v>55</v>
      </c>
      <c r="B28" s="46">
        <v>6.3462750000000003</v>
      </c>
      <c r="D28" s="48">
        <f t="shared" si="0"/>
        <v>3.3543277815098076E-2</v>
      </c>
      <c r="E28" s="48">
        <f t="shared" si="1"/>
        <v>3.647569039321001</v>
      </c>
      <c r="F28" s="19"/>
    </row>
    <row r="29" spans="1:6" x14ac:dyDescent="0.25">
      <c r="A29" t="s">
        <v>56</v>
      </c>
      <c r="B29" s="46">
        <v>6.484229</v>
      </c>
      <c r="D29" s="48">
        <f t="shared" si="0"/>
        <v>0.10310664853301824</v>
      </c>
      <c r="E29" s="48">
        <f t="shared" si="1"/>
        <v>4.1935462742249996</v>
      </c>
      <c r="F29" s="19"/>
    </row>
    <row r="30" spans="1:6" x14ac:dyDescent="0.25">
      <c r="A30" t="s">
        <v>57</v>
      </c>
      <c r="B30" s="46">
        <v>5.9889270000000003</v>
      </c>
      <c r="D30" s="48">
        <f t="shared" si="0"/>
        <v>3.034555638405715E-2</v>
      </c>
      <c r="E30" s="48">
        <f t="shared" si="1"/>
        <v>2.4102966151690008</v>
      </c>
      <c r="F30" s="19"/>
    </row>
    <row r="31" spans="1:6" x14ac:dyDescent="0.25">
      <c r="A31" t="s">
        <v>58</v>
      </c>
      <c r="B31" s="46">
        <v>5.7737850000000002</v>
      </c>
      <c r="D31" s="48">
        <f t="shared" si="0"/>
        <v>0.15158700607989672</v>
      </c>
      <c r="E31" s="48">
        <f t="shared" si="1"/>
        <v>1.7885611916410002</v>
      </c>
      <c r="F31" s="19"/>
    </row>
    <row r="32" spans="1:6" x14ac:dyDescent="0.25">
      <c r="A32" t="s">
        <v>59</v>
      </c>
      <c r="B32" s="46">
        <v>5.6872889999999998</v>
      </c>
      <c r="D32" s="48">
        <f t="shared" si="0"/>
        <v>0.22642157384181685</v>
      </c>
      <c r="E32" s="48">
        <f t="shared" si="1"/>
        <v>1.5646882656249994</v>
      </c>
      <c r="F32" s="19"/>
    </row>
    <row r="33" spans="1:6" x14ac:dyDescent="0.25">
      <c r="A33" t="s">
        <v>60</v>
      </c>
      <c r="B33" s="46">
        <v>5.0293239999999999</v>
      </c>
      <c r="D33" s="48">
        <f t="shared" si="0"/>
        <v>1.2855086985836157</v>
      </c>
      <c r="E33" s="48">
        <f t="shared" si="1"/>
        <v>0.35154226809999978</v>
      </c>
      <c r="F33" s="19"/>
    </row>
    <row r="34" spans="1:6" x14ac:dyDescent="0.25">
      <c r="A34" t="s">
        <v>61</v>
      </c>
      <c r="B34" s="46">
        <v>5.3039249999999996</v>
      </c>
      <c r="D34" s="48">
        <f t="shared" si="0"/>
        <v>0.73822766438709675</v>
      </c>
      <c r="E34" s="48">
        <f t="shared" si="1"/>
        <v>0.75257533512099906</v>
      </c>
      <c r="F34" s="19"/>
    </row>
    <row r="35" spans="1:6" x14ac:dyDescent="0.25">
      <c r="A35" t="s">
        <v>62</v>
      </c>
      <c r="B35" s="46">
        <v>4.6254010000000001</v>
      </c>
      <c r="D35" s="48">
        <f t="shared" si="0"/>
        <v>2.3646005129675745</v>
      </c>
      <c r="E35" s="48">
        <f t="shared" si="1"/>
        <v>3.5716086169000009E-2</v>
      </c>
      <c r="F35" s="19"/>
    </row>
    <row r="36" spans="1:6" x14ac:dyDescent="0.25">
      <c r="A36" t="s">
        <v>63</v>
      </c>
      <c r="B36" s="46">
        <v>4.7801270000000002</v>
      </c>
      <c r="D36" s="48">
        <f t="shared" si="0"/>
        <v>1.9126883361600542</v>
      </c>
      <c r="E36" s="48">
        <f t="shared" si="1"/>
        <v>0.1181386263690001</v>
      </c>
      <c r="F36" s="19"/>
    </row>
    <row r="37" spans="1:6" x14ac:dyDescent="0.25">
      <c r="A37" t="s">
        <v>64</v>
      </c>
      <c r="B37" s="46">
        <v>4.5334789999999998</v>
      </c>
      <c r="D37" s="48">
        <f t="shared" si="0"/>
        <v>2.6557518216730149</v>
      </c>
      <c r="E37" s="48">
        <f t="shared" si="1"/>
        <v>9.4216142249999493E-3</v>
      </c>
      <c r="F37" s="19"/>
    </row>
    <row r="38" spans="1:6" x14ac:dyDescent="0.25">
      <c r="A38" t="s">
        <v>65</v>
      </c>
      <c r="B38" s="46">
        <v>4.3393490000000003</v>
      </c>
      <c r="D38" s="48">
        <f t="shared" si="0"/>
        <v>3.326165317870613</v>
      </c>
      <c r="E38" s="48">
        <f t="shared" si="1"/>
        <v>9.4216142249999493E-3</v>
      </c>
      <c r="F38" s="19"/>
    </row>
    <row r="39" spans="1:6" x14ac:dyDescent="0.25">
      <c r="A39" t="s">
        <v>66</v>
      </c>
      <c r="B39" s="46">
        <v>3.831073</v>
      </c>
      <c r="D39" s="48">
        <f t="shared" si="0"/>
        <v>5.4384747395301334</v>
      </c>
      <c r="E39" s="48">
        <f t="shared" si="1"/>
        <v>0.36643772628100013</v>
      </c>
      <c r="F39" s="19"/>
    </row>
    <row r="40" spans="1:6" x14ac:dyDescent="0.25">
      <c r="A40" t="s">
        <v>67</v>
      </c>
      <c r="B40" s="46">
        <v>3.7516159999999998</v>
      </c>
      <c r="D40" s="48">
        <f t="shared" si="0"/>
        <v>5.8153841455957735</v>
      </c>
      <c r="E40" s="48">
        <f t="shared" si="1"/>
        <v>0.46894830080400035</v>
      </c>
      <c r="F40" s="19"/>
    </row>
    <row r="41" spans="1:6" x14ac:dyDescent="0.25">
      <c r="A41" t="s">
        <v>68</v>
      </c>
      <c r="B41" s="46">
        <v>3.5741179999999999</v>
      </c>
      <c r="D41" s="48">
        <f t="shared" si="0"/>
        <v>6.7029663593567328</v>
      </c>
      <c r="E41" s="48">
        <f t="shared" si="1"/>
        <v>0.74355439161600034</v>
      </c>
      <c r="F41" s="19"/>
    </row>
    <row r="42" spans="1:6" x14ac:dyDescent="0.25">
      <c r="A42" t="s">
        <v>69</v>
      </c>
      <c r="B42" s="46">
        <v>3.046869</v>
      </c>
      <c r="D42" s="48">
        <f t="shared" si="0"/>
        <v>9.7110624267602113</v>
      </c>
      <c r="E42" s="48">
        <f t="shared" si="1"/>
        <v>1.9308353070250002</v>
      </c>
      <c r="F42" s="19"/>
    </row>
    <row r="43" spans="1:6" x14ac:dyDescent="0.25">
      <c r="A43" t="s">
        <v>70</v>
      </c>
      <c r="B43" s="46">
        <v>2.7638880000000001</v>
      </c>
      <c r="D43" s="48">
        <f t="shared" si="0"/>
        <v>11.554824147486331</v>
      </c>
      <c r="E43" s="48">
        <f t="shared" si="1"/>
        <v>2.7973432206759998</v>
      </c>
      <c r="F43" s="19"/>
    </row>
    <row r="44" spans="1:6" x14ac:dyDescent="0.25">
      <c r="A44" t="s">
        <v>71</v>
      </c>
      <c r="B44" s="46">
        <v>2.9681030000000002</v>
      </c>
      <c r="D44" s="48">
        <f t="shared" si="0"/>
        <v>10.208176826964531</v>
      </c>
      <c r="E44" s="48">
        <f t="shared" si="1"/>
        <v>2.1559371927209998</v>
      </c>
      <c r="F44" s="19"/>
    </row>
    <row r="45" spans="1:6" x14ac:dyDescent="0.25">
      <c r="A45" t="s">
        <v>72</v>
      </c>
      <c r="B45" s="46">
        <v>2.9159579999999998</v>
      </c>
      <c r="D45" s="48">
        <f t="shared" si="0"/>
        <v>10.544104955919932</v>
      </c>
      <c r="E45" s="48">
        <f t="shared" si="1"/>
        <v>2.3117864479360009</v>
      </c>
      <c r="F45" s="19"/>
    </row>
    <row r="46" spans="1:6" x14ac:dyDescent="0.25">
      <c r="A46" t="s">
        <v>73</v>
      </c>
      <c r="B46" s="46">
        <v>2.700691</v>
      </c>
      <c r="D46" s="48">
        <f t="shared" si="0"/>
        <v>11.988461392126771</v>
      </c>
      <c r="E46" s="48">
        <f t="shared" si="1"/>
        <v>3.0127343327290004</v>
      </c>
      <c r="F46" s="19"/>
    </row>
    <row r="47" spans="1:6" x14ac:dyDescent="0.25">
      <c r="A47" t="s">
        <v>74</v>
      </c>
      <c r="B47" s="46">
        <v>2.853132</v>
      </c>
      <c r="D47" s="48">
        <f t="shared" si="0"/>
        <v>10.956065311227452</v>
      </c>
      <c r="E47" s="48">
        <f t="shared" si="1"/>
        <v>2.5067818915240001</v>
      </c>
      <c r="F47" s="19"/>
    </row>
    <row r="48" spans="1:6" x14ac:dyDescent="0.25">
      <c r="A48" t="s">
        <v>75</v>
      </c>
      <c r="B48" s="46">
        <v>2.0591919999999999</v>
      </c>
      <c r="D48" s="48">
        <f t="shared" si="0"/>
        <v>16.842280514336252</v>
      </c>
      <c r="E48" s="48">
        <f t="shared" si="1"/>
        <v>5.6511844372840008</v>
      </c>
      <c r="F48" s="19"/>
    </row>
    <row r="49" spans="1:6" x14ac:dyDescent="0.25">
      <c r="A49" t="s">
        <v>76</v>
      </c>
      <c r="B49" s="46">
        <v>1.826341</v>
      </c>
      <c r="D49" s="48">
        <f t="shared" si="0"/>
        <v>18.807710728138769</v>
      </c>
      <c r="E49" s="48">
        <f t="shared" si="1"/>
        <v>6.8124810653289991</v>
      </c>
      <c r="F49" s="19"/>
    </row>
    <row r="50" spans="1:6" x14ac:dyDescent="0.25">
      <c r="A50" t="s">
        <v>77</v>
      </c>
      <c r="B50" s="46">
        <v>1.853011</v>
      </c>
      <c r="D50" s="48">
        <f t="shared" si="0"/>
        <v>18.577097864600365</v>
      </c>
      <c r="E50" s="48">
        <f t="shared" si="1"/>
        <v>6.6739710604090003</v>
      </c>
      <c r="F50" s="19"/>
    </row>
    <row r="51" spans="1:6" x14ac:dyDescent="0.25">
      <c r="A51" t="s">
        <v>78</v>
      </c>
      <c r="B51" s="46">
        <v>1.567652</v>
      </c>
      <c r="D51" s="48">
        <f t="shared" si="0"/>
        <v>21.118388269797052</v>
      </c>
      <c r="E51" s="48">
        <f t="shared" si="1"/>
        <v>8.2297954126440018</v>
      </c>
      <c r="F51" s="19"/>
    </row>
    <row r="52" spans="1:6" x14ac:dyDescent="0.25">
      <c r="A52" t="s">
        <v>79</v>
      </c>
      <c r="B52" s="46">
        <v>1.360301</v>
      </c>
      <c r="D52" s="48">
        <f t="shared" si="0"/>
        <v>23.067135280919572</v>
      </c>
      <c r="E52" s="48">
        <f t="shared" si="1"/>
        <v>9.4624711887690012</v>
      </c>
      <c r="F52" s="19"/>
    </row>
    <row r="53" spans="1:6" x14ac:dyDescent="0.25">
      <c r="A53" t="s">
        <v>80</v>
      </c>
      <c r="B53" s="46">
        <v>1.3164659999999999</v>
      </c>
      <c r="D53" s="48">
        <f t="shared" si="0"/>
        <v>23.490120522523767</v>
      </c>
      <c r="E53" s="48">
        <f t="shared" si="1"/>
        <v>9.7340755227039999</v>
      </c>
      <c r="F53" s="19"/>
    </row>
    <row r="54" spans="1:6" x14ac:dyDescent="0.25">
      <c r="A54" t="s">
        <v>81</v>
      </c>
      <c r="B54" s="46">
        <v>1.3283609999999999</v>
      </c>
      <c r="D54" s="48">
        <f t="shared" si="0"/>
        <v>23.374959954068366</v>
      </c>
      <c r="E54" s="48">
        <f t="shared" si="1"/>
        <v>9.6599934508089991</v>
      </c>
      <c r="F54" s="19"/>
    </row>
    <row r="55" spans="1:6" x14ac:dyDescent="0.25">
      <c r="A55" t="s">
        <v>82</v>
      </c>
      <c r="B55" s="46">
        <v>1.0529310000000001</v>
      </c>
      <c r="D55" s="48">
        <f t="shared" si="0"/>
        <v>26.114100705521967</v>
      </c>
      <c r="E55" s="48">
        <f t="shared" si="1"/>
        <v>11.447957211288999</v>
      </c>
      <c r="F55" s="19"/>
    </row>
    <row r="56" spans="1:6" x14ac:dyDescent="0.25">
      <c r="A56" t="s">
        <v>83</v>
      </c>
      <c r="B56" s="46">
        <v>0.98941699999999999</v>
      </c>
      <c r="D56" s="48">
        <f t="shared" si="0"/>
        <v>26.767272680719252</v>
      </c>
      <c r="E56" s="48">
        <f t="shared" si="1"/>
        <v>11.881788318009001</v>
      </c>
      <c r="F56" s="19"/>
    </row>
    <row r="57" spans="1:6" x14ac:dyDescent="0.25">
      <c r="A57" t="s">
        <v>84</v>
      </c>
      <c r="B57" s="46">
        <v>0.89793599999999996</v>
      </c>
      <c r="D57" s="48">
        <f t="shared" si="0"/>
        <v>27.72223373918937</v>
      </c>
      <c r="E57" s="48">
        <f t="shared" si="1"/>
        <v>12.520826556484</v>
      </c>
      <c r="F57" s="19"/>
    </row>
    <row r="58" spans="1:6" x14ac:dyDescent="0.25">
      <c r="A58" t="s">
        <v>85</v>
      </c>
      <c r="B58" s="46">
        <v>0.814191</v>
      </c>
      <c r="D58" s="48">
        <f t="shared" si="0"/>
        <v>28.611113764606767</v>
      </c>
      <c r="E58" s="48">
        <f t="shared" si="1"/>
        <v>13.120499461729001</v>
      </c>
      <c r="F58" s="19"/>
    </row>
    <row r="59" spans="1:6" x14ac:dyDescent="0.25">
      <c r="A59" t="s">
        <v>86</v>
      </c>
      <c r="B59" s="46">
        <v>0.67259100000000005</v>
      </c>
      <c r="D59" s="48">
        <f t="shared" si="0"/>
        <v>30.14598293183877</v>
      </c>
      <c r="E59" s="48">
        <f t="shared" si="1"/>
        <v>14.166363575328999</v>
      </c>
      <c r="F59" s="19"/>
    </row>
    <row r="60" spans="1:6" x14ac:dyDescent="0.25">
      <c r="A60" t="s">
        <v>87</v>
      </c>
      <c r="B60" s="46">
        <v>0.71024900000000002</v>
      </c>
      <c r="D60" s="48">
        <f t="shared" si="0"/>
        <v>29.733875865502604</v>
      </c>
      <c r="E60" s="48">
        <f t="shared" si="1"/>
        <v>13.884305607225</v>
      </c>
      <c r="F60" s="19"/>
    </row>
    <row r="61" spans="1:6" x14ac:dyDescent="0.25">
      <c r="A61" t="s">
        <v>88</v>
      </c>
      <c r="B61" s="46">
        <v>0.625745</v>
      </c>
      <c r="D61" s="48">
        <f t="shared" si="0"/>
        <v>30.662596755980683</v>
      </c>
      <c r="E61" s="48">
        <f t="shared" si="1"/>
        <v>14.521198227560999</v>
      </c>
      <c r="F61" s="19"/>
    </row>
    <row r="62" spans="1:6" x14ac:dyDescent="0.25">
      <c r="A62" t="s">
        <v>89</v>
      </c>
      <c r="B62" s="46">
        <v>0.56376700000000002</v>
      </c>
      <c r="D62" s="48">
        <f t="shared" si="0"/>
        <v>31.352829721907241</v>
      </c>
      <c r="E62" s="48">
        <f t="shared" si="1"/>
        <v>14.997394786609002</v>
      </c>
      <c r="F62" s="19"/>
    </row>
  </sheetData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98"/>
  <sheetViews>
    <sheetView showGridLines="0" zoomScale="40" zoomScaleNormal="40" workbookViewId="0">
      <selection sqref="A1:N1"/>
    </sheetView>
  </sheetViews>
  <sheetFormatPr defaultRowHeight="15" x14ac:dyDescent="0.25"/>
  <cols>
    <col min="2" max="2" width="11" style="89" bestFit="1" customWidth="1"/>
    <col min="3" max="3" width="12" style="89" bestFit="1" customWidth="1"/>
    <col min="5" max="5" width="11" style="89" bestFit="1" customWidth="1"/>
    <col min="6" max="6" width="12" style="89" bestFit="1" customWidth="1"/>
    <col min="9" max="9" width="11" style="89" bestFit="1" customWidth="1"/>
    <col min="10" max="10" width="12" style="89" bestFit="1" customWidth="1"/>
    <col min="13" max="13" width="11" style="89" bestFit="1" customWidth="1"/>
    <col min="14" max="14" width="12" style="89" bestFit="1" customWidth="1"/>
    <col min="17" max="17" width="11" style="89" bestFit="1" customWidth="1"/>
    <col min="18" max="18" width="12" style="89" bestFit="1" customWidth="1"/>
    <col min="21" max="21" width="11" style="89" bestFit="1" customWidth="1"/>
    <col min="22" max="22" width="12" style="89" bestFit="1" customWidth="1"/>
    <col min="41" max="41" width="11" style="89" bestFit="1" customWidth="1"/>
    <col min="42" max="42" width="12" style="89" bestFit="1" customWidth="1"/>
    <col min="43" max="43" width="9.140625" style="89"/>
    <col min="44" max="44" width="11" style="89" bestFit="1" customWidth="1"/>
    <col min="45" max="45" width="9.140625" style="89"/>
    <col min="47" max="47" width="11" style="89" bestFit="1" customWidth="1"/>
    <col min="48" max="48" width="9.140625" style="89"/>
    <col min="50" max="50" width="11" style="89" bestFit="1" customWidth="1"/>
    <col min="51" max="51" width="9.140625" style="89"/>
    <col min="69" max="69" width="11" style="89" bestFit="1" customWidth="1"/>
    <col min="70" max="70" width="12" style="89" bestFit="1" customWidth="1"/>
    <col min="80" max="80" width="11" style="89" bestFit="1" customWidth="1"/>
    <col min="81" max="81" width="12" style="89" bestFit="1" customWidth="1"/>
    <col min="91" max="91" width="11" bestFit="1" customWidth="1"/>
    <col min="103" max="103" width="11" bestFit="1" customWidth="1"/>
    <col min="115" max="115" width="11" bestFit="1" customWidth="1"/>
    <col min="116" max="116" width="12.28515625" bestFit="1" customWidth="1"/>
    <col min="126" max="126" width="11" style="89" bestFit="1" customWidth="1"/>
    <col min="127" max="127" width="12.28515625" style="89" bestFit="1" customWidth="1"/>
  </cols>
  <sheetData>
    <row r="1" spans="1:127" x14ac:dyDescent="0.25">
      <c r="A1" s="264" t="s">
        <v>586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27" x14ac:dyDescent="0.25">
      <c r="B2"/>
      <c r="C2"/>
      <c r="E2"/>
      <c r="F2"/>
      <c r="I2"/>
      <c r="J2"/>
      <c r="M2"/>
      <c r="N2"/>
      <c r="Q2"/>
      <c r="R2"/>
      <c r="U2"/>
      <c r="V2"/>
      <c r="AO2" s="266" t="s">
        <v>402</v>
      </c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BQ2"/>
      <c r="BR2"/>
      <c r="CB2"/>
      <c r="CC2"/>
    </row>
    <row r="3" spans="1:127" x14ac:dyDescent="0.25">
      <c r="B3" s="70"/>
      <c r="C3" s="70"/>
      <c r="E3" s="70"/>
      <c r="F3" s="70"/>
      <c r="I3" s="70"/>
      <c r="J3" s="70"/>
      <c r="M3" s="70"/>
      <c r="N3" s="70"/>
      <c r="Q3" s="70"/>
      <c r="R3" s="70"/>
      <c r="U3" s="70"/>
      <c r="V3" s="70"/>
      <c r="AO3" s="94"/>
      <c r="AP3" s="94"/>
      <c r="AQ3" s="94"/>
      <c r="AR3" s="94"/>
      <c r="AS3" s="94"/>
      <c r="AT3" s="95"/>
      <c r="AU3" s="94"/>
      <c r="AV3" s="94"/>
      <c r="AW3" s="95"/>
      <c r="AX3" s="94"/>
      <c r="AY3" s="94"/>
      <c r="BQ3" s="265" t="s">
        <v>406</v>
      </c>
      <c r="BR3" s="265"/>
      <c r="CB3" s="265" t="s">
        <v>407</v>
      </c>
      <c r="CC3" s="265"/>
      <c r="CM3" t="s">
        <v>31</v>
      </c>
      <c r="CN3">
        <f>CORREL(CM8:CM27,CN8:CN27)</f>
        <v>0.84510233488737974</v>
      </c>
      <c r="CY3" t="s">
        <v>31</v>
      </c>
      <c r="CZ3">
        <f>CORREL(CY8:CY27,CZ8:CZ27)</f>
        <v>0.84510233488737974</v>
      </c>
      <c r="DK3" t="s">
        <v>31</v>
      </c>
      <c r="DL3">
        <f>CORREL(DK8:DK27,DL8:DL27)</f>
        <v>0.1458258578581523</v>
      </c>
      <c r="DV3" s="89" t="s">
        <v>31</v>
      </c>
      <c r="DW3" s="89">
        <f>CORREL(DV8:DV57,DW8:DW57)</f>
        <v>6.0906073203375821E-2</v>
      </c>
    </row>
    <row r="4" spans="1:127" x14ac:dyDescent="0.25">
      <c r="B4" s="70" t="s">
        <v>31</v>
      </c>
      <c r="C4" s="98">
        <f>CORREL(B8:B49,C8:C49)</f>
        <v>0.99999999999999978</v>
      </c>
      <c r="E4" s="70" t="s">
        <v>31</v>
      </c>
      <c r="F4" s="98">
        <f>CORREL(E8:E49,F8:F49)</f>
        <v>0.9122737221089896</v>
      </c>
      <c r="I4" s="70" t="s">
        <v>31</v>
      </c>
      <c r="J4" s="98">
        <f>CORREL(I8:I49,J8:J49)</f>
        <v>0.52959686871712308</v>
      </c>
      <c r="M4" s="70" t="s">
        <v>31</v>
      </c>
      <c r="N4" s="98">
        <f>CORREL(M8:M49,N8:N49)</f>
        <v>8.0970050906184858E-3</v>
      </c>
      <c r="Q4" s="70" t="s">
        <v>31</v>
      </c>
      <c r="R4" s="98">
        <f>CORREL(Q8:Q49,R8:R49)</f>
        <v>-0.75222352526503455</v>
      </c>
      <c r="U4" s="70" t="s">
        <v>31</v>
      </c>
      <c r="V4" s="98">
        <f>CORREL(U8:U49,V8:V49)</f>
        <v>-0.98593270092562979</v>
      </c>
      <c r="AO4" s="94" t="s">
        <v>31</v>
      </c>
      <c r="AP4" s="96">
        <f>CORREL(AO8:AO49,AP8:AP49)</f>
        <v>1.2266420390067005E-17</v>
      </c>
      <c r="AQ4" s="94"/>
      <c r="AR4" s="94" t="s">
        <v>31</v>
      </c>
      <c r="AS4" s="96">
        <f>CORREL(AR8:AR49,AS8:AS49)</f>
        <v>-7.3776675308617625E-18</v>
      </c>
      <c r="AT4" s="95"/>
      <c r="AU4" s="94" t="s">
        <v>31</v>
      </c>
      <c r="AV4" s="96">
        <f>CORREL(AU8:AU49,AV8:AV49)</f>
        <v>0</v>
      </c>
      <c r="AW4" s="95"/>
      <c r="AX4" s="94" t="s">
        <v>31</v>
      </c>
      <c r="AY4" s="96">
        <f>CORREL(AX8:AX49,AY8:AY49)</f>
        <v>0</v>
      </c>
      <c r="BQ4" s="70" t="s">
        <v>31</v>
      </c>
      <c r="BR4" s="98">
        <f>CORREL(BQ8:BQ98,BR8:BR98)</f>
        <v>-0.12447139740903357</v>
      </c>
      <c r="CB4" s="70" t="s">
        <v>31</v>
      </c>
      <c r="CC4" s="98">
        <f>CORREL(CB8:CB98,CC8:CC98)</f>
        <v>0</v>
      </c>
      <c r="CL4" t="s">
        <v>408</v>
      </c>
      <c r="CM4">
        <f>AVERAGE(CM8:CM27)</f>
        <v>11.5</v>
      </c>
      <c r="CN4">
        <f>AVERAGE(CN8:CN27)</f>
        <v>5.7314167775917113</v>
      </c>
      <c r="DU4" t="s">
        <v>411</v>
      </c>
      <c r="DV4" s="89">
        <f>AVERAGE(DV8:DV57)</f>
        <v>48.32</v>
      </c>
      <c r="DW4" s="89">
        <f>AVERAGE(DW8:DW57)</f>
        <v>53.44</v>
      </c>
    </row>
    <row r="5" spans="1:127" x14ac:dyDescent="0.25">
      <c r="B5" s="70"/>
      <c r="C5" s="70"/>
      <c r="E5" s="70"/>
      <c r="F5" s="70"/>
      <c r="I5" s="70"/>
      <c r="J5" s="70"/>
      <c r="M5" s="70"/>
      <c r="N5" s="70"/>
      <c r="Q5" s="70"/>
      <c r="R5" s="70"/>
      <c r="U5" s="70"/>
      <c r="V5" s="70"/>
      <c r="AO5" s="94"/>
      <c r="AP5" s="94"/>
      <c r="AQ5" s="94"/>
      <c r="AR5" s="94"/>
      <c r="AS5" s="94"/>
      <c r="AT5" s="95"/>
      <c r="AU5" s="94"/>
      <c r="AV5" s="94"/>
      <c r="AW5" s="95"/>
      <c r="AX5" s="94"/>
      <c r="AY5" s="94"/>
      <c r="BQ5" s="70"/>
      <c r="BR5" s="70"/>
      <c r="CB5" s="70"/>
      <c r="CC5" s="70"/>
      <c r="CM5" s="265" t="s">
        <v>404</v>
      </c>
      <c r="CN5" s="265"/>
      <c r="CY5" s="265" t="s">
        <v>404</v>
      </c>
      <c r="CZ5" s="265"/>
      <c r="DK5" s="265" t="s">
        <v>409</v>
      </c>
      <c r="DL5" s="265"/>
      <c r="DV5" s="265" t="s">
        <v>410</v>
      </c>
      <c r="DW5" s="265"/>
    </row>
    <row r="6" spans="1:127" x14ac:dyDescent="0.25">
      <c r="B6" s="265" t="s">
        <v>403</v>
      </c>
      <c r="C6" s="265"/>
      <c r="E6" s="265" t="s">
        <v>404</v>
      </c>
      <c r="F6" s="265"/>
      <c r="I6" s="265" t="s">
        <v>405</v>
      </c>
      <c r="J6" s="265"/>
      <c r="M6" s="265" t="s">
        <v>405</v>
      </c>
      <c r="N6" s="265"/>
      <c r="Q6" s="265" t="s">
        <v>405</v>
      </c>
      <c r="R6" s="265"/>
      <c r="U6" s="265" t="s">
        <v>405</v>
      </c>
      <c r="V6" s="265"/>
      <c r="AO6" s="266" t="s">
        <v>399</v>
      </c>
      <c r="AP6" s="266"/>
      <c r="AQ6" s="94"/>
      <c r="AR6" s="266" t="s">
        <v>400</v>
      </c>
      <c r="AS6" s="266"/>
      <c r="AT6" s="95"/>
      <c r="AU6" s="266" t="s">
        <v>98</v>
      </c>
      <c r="AV6" s="266"/>
      <c r="AW6" s="95"/>
      <c r="AX6" s="266" t="s">
        <v>401</v>
      </c>
      <c r="AY6" s="266"/>
      <c r="BQ6" s="265" t="s">
        <v>403</v>
      </c>
      <c r="BR6" s="265"/>
      <c r="CB6" s="265" t="s">
        <v>403</v>
      </c>
      <c r="CC6" s="265"/>
      <c r="CM6" s="70" t="s">
        <v>374</v>
      </c>
      <c r="CN6" s="70" t="s">
        <v>375</v>
      </c>
      <c r="CY6" s="70" t="s">
        <v>374</v>
      </c>
      <c r="CZ6" s="70" t="s">
        <v>375</v>
      </c>
      <c r="DK6" s="70" t="s">
        <v>374</v>
      </c>
      <c r="DL6" s="70" t="s">
        <v>375</v>
      </c>
      <c r="DV6" s="70" t="s">
        <v>374</v>
      </c>
      <c r="DW6" s="70" t="s">
        <v>375</v>
      </c>
    </row>
    <row r="7" spans="1:127" x14ac:dyDescent="0.25">
      <c r="B7" s="70" t="s">
        <v>374</v>
      </c>
      <c r="C7" s="70" t="s">
        <v>375</v>
      </c>
      <c r="E7" s="70" t="s">
        <v>374</v>
      </c>
      <c r="F7" s="70" t="s">
        <v>375</v>
      </c>
      <c r="I7" s="70" t="s">
        <v>374</v>
      </c>
      <c r="J7" s="70" t="s">
        <v>375</v>
      </c>
      <c r="M7" s="70" t="s">
        <v>374</v>
      </c>
      <c r="N7" s="70" t="s">
        <v>375</v>
      </c>
      <c r="Q7" s="70" t="s">
        <v>374</v>
      </c>
      <c r="R7" s="70" t="s">
        <v>375</v>
      </c>
      <c r="U7" s="70" t="s">
        <v>374</v>
      </c>
      <c r="V7" s="70" t="s">
        <v>375</v>
      </c>
      <c r="AO7" s="94" t="s">
        <v>374</v>
      </c>
      <c r="AP7" s="94" t="s">
        <v>375</v>
      </c>
      <c r="AQ7" s="94"/>
      <c r="AR7" s="94" t="s">
        <v>374</v>
      </c>
      <c r="AS7" s="94" t="s">
        <v>375</v>
      </c>
      <c r="AT7" s="95"/>
      <c r="AU7" s="94" t="s">
        <v>374</v>
      </c>
      <c r="AV7" s="94" t="s">
        <v>375</v>
      </c>
      <c r="AW7" s="95"/>
      <c r="AX7" s="94" t="s">
        <v>374</v>
      </c>
      <c r="AY7" s="94" t="s">
        <v>375</v>
      </c>
      <c r="BQ7" s="70" t="s">
        <v>374</v>
      </c>
      <c r="BR7" s="70" t="s">
        <v>375</v>
      </c>
      <c r="CB7" s="70" t="s">
        <v>374</v>
      </c>
      <c r="CC7" s="70" t="s">
        <v>375</v>
      </c>
      <c r="CM7" s="70"/>
      <c r="CN7" s="71"/>
      <c r="CY7" s="70"/>
      <c r="CZ7" s="71"/>
      <c r="DK7" s="70"/>
      <c r="DL7" s="71"/>
      <c r="DV7" s="70"/>
      <c r="DW7" s="71"/>
    </row>
    <row r="8" spans="1:127" x14ac:dyDescent="0.25">
      <c r="B8" s="70">
        <v>-10</v>
      </c>
      <c r="C8" s="70">
        <f>B8</f>
        <v>-10</v>
      </c>
      <c r="E8" s="70"/>
      <c r="F8" s="71"/>
      <c r="I8" s="70"/>
      <c r="J8" s="71"/>
      <c r="M8" s="70"/>
      <c r="N8" s="71"/>
      <c r="Q8" s="70"/>
      <c r="R8" s="71"/>
      <c r="U8" s="70"/>
      <c r="V8" s="71"/>
      <c r="AO8" s="94">
        <v>-10</v>
      </c>
      <c r="AP8" s="94">
        <f>SQRT(10^2-AO8^2)</f>
        <v>0</v>
      </c>
      <c r="AQ8" s="94"/>
      <c r="AR8" s="94"/>
      <c r="AS8" s="94"/>
      <c r="AT8" s="95"/>
      <c r="AU8" s="94"/>
      <c r="AV8" s="94"/>
      <c r="AW8" s="95"/>
      <c r="AX8" s="94"/>
      <c r="AY8" s="94"/>
      <c r="BQ8" s="70">
        <v>46</v>
      </c>
      <c r="BR8" s="70">
        <v>-18</v>
      </c>
      <c r="CB8" s="70">
        <v>-7</v>
      </c>
      <c r="CC8" s="70">
        <f>CB8^2</f>
        <v>49</v>
      </c>
      <c r="CM8" s="70">
        <v>2</v>
      </c>
      <c r="CN8" s="71">
        <f>0.5*CM8+6*CO8-3</f>
        <v>2.2037575870463186</v>
      </c>
      <c r="CO8">
        <v>0.7006262645077197</v>
      </c>
      <c r="CY8" s="70">
        <f>CM8-$CM$4</f>
        <v>-9.5</v>
      </c>
      <c r="CZ8" s="71">
        <f>CN8-$CN$4</f>
        <v>-3.5276591905453927</v>
      </c>
      <c r="DA8">
        <v>0.7006262645077197</v>
      </c>
      <c r="DK8" s="70">
        <v>1.4</v>
      </c>
      <c r="DL8" s="71">
        <v>13.25</v>
      </c>
      <c r="DV8" s="70">
        <v>15</v>
      </c>
      <c r="DW8" s="71">
        <v>88</v>
      </c>
    </row>
    <row r="9" spans="1:127" x14ac:dyDescent="0.25">
      <c r="B9" s="70">
        <v>-9</v>
      </c>
      <c r="C9" s="70">
        <f t="shared" ref="C9:C49" si="0">B9</f>
        <v>-9</v>
      </c>
      <c r="E9" s="70">
        <v>-9</v>
      </c>
      <c r="F9" s="71">
        <f>0.5*E9+6*G9-3</f>
        <v>-3.2962424129536814</v>
      </c>
      <c r="G9">
        <v>0.7006262645077197</v>
      </c>
      <c r="I9" s="70">
        <v>-9</v>
      </c>
      <c r="J9" s="71">
        <f>0.2*I9+8*K9-4</f>
        <v>-0.75213671735134735</v>
      </c>
      <c r="K9">
        <v>0.63098291033108156</v>
      </c>
      <c r="M9" s="70">
        <v>-9</v>
      </c>
      <c r="N9" s="71">
        <f>8*O9-4</f>
        <v>1.0478632826486525</v>
      </c>
      <c r="O9">
        <v>0.63098291033108156</v>
      </c>
      <c r="Q9" s="70">
        <v>-9</v>
      </c>
      <c r="R9" s="71">
        <f>-Q9*0.5+S9*12-6</f>
        <v>7.08198615385108</v>
      </c>
      <c r="S9">
        <v>0.71516551282092333</v>
      </c>
      <c r="U9" s="70">
        <v>-9</v>
      </c>
      <c r="V9" s="71">
        <f>-U9+W9*5</f>
        <v>12.154914551655407</v>
      </c>
      <c r="W9">
        <v>0.63098291033108156</v>
      </c>
      <c r="AO9" s="94">
        <v>-9</v>
      </c>
      <c r="AP9" s="97">
        <f>SQRT(10^2-AO9^2)</f>
        <v>4.358898943540674</v>
      </c>
      <c r="AQ9" s="94"/>
      <c r="AR9" s="94">
        <v>-5</v>
      </c>
      <c r="AS9" s="97">
        <v>5</v>
      </c>
      <c r="AT9" s="95"/>
      <c r="AU9" s="94">
        <v>-5</v>
      </c>
      <c r="AV9" s="97">
        <f>AU9^2</f>
        <v>25</v>
      </c>
      <c r="AW9" s="95"/>
      <c r="AX9" s="94">
        <v>0</v>
      </c>
      <c r="AY9" s="97">
        <f>AX9</f>
        <v>0</v>
      </c>
      <c r="BQ9" s="70">
        <v>23</v>
      </c>
      <c r="BR9" s="70">
        <v>-18</v>
      </c>
      <c r="CB9" s="70">
        <v>-6</v>
      </c>
      <c r="CC9" s="70">
        <f t="shared" ref="CC9:CC22" si="1">CB9^2</f>
        <v>36</v>
      </c>
      <c r="CM9" s="70">
        <f>CM8+1</f>
        <v>3</v>
      </c>
      <c r="CN9" s="71">
        <f t="shared" ref="CN9:CN27" si="2">0.5*CM9+6*CO9-3</f>
        <v>3.358220203366181</v>
      </c>
      <c r="CO9">
        <v>0.80970336722769687</v>
      </c>
      <c r="CY9" s="70">
        <f t="shared" ref="CY9:CY27" si="3">CM9-$CM$4</f>
        <v>-8.5</v>
      </c>
      <c r="CZ9" s="71">
        <f t="shared" ref="CZ9:CZ27" si="4">CN9-$CN$4</f>
        <v>-2.3731965742255303</v>
      </c>
      <c r="DA9">
        <v>0.80970336722769687</v>
      </c>
      <c r="DK9" s="70">
        <v>-8.6</v>
      </c>
      <c r="DL9" s="71">
        <v>-19.75</v>
      </c>
      <c r="DV9" s="70">
        <v>4</v>
      </c>
      <c r="DW9" s="71">
        <v>89</v>
      </c>
    </row>
    <row r="10" spans="1:127" x14ac:dyDescent="0.25">
      <c r="B10" s="70">
        <v>-8</v>
      </c>
      <c r="C10" s="70">
        <f t="shared" si="0"/>
        <v>-8</v>
      </c>
      <c r="E10" s="70">
        <v>-8</v>
      </c>
      <c r="F10" s="71">
        <f t="shared" ref="F10:F28" si="5">0.5*E10+6*G10-3</f>
        <v>-2.141779796633819</v>
      </c>
      <c r="G10">
        <v>0.80970336722769687</v>
      </c>
      <c r="I10" s="70">
        <v>-8</v>
      </c>
      <c r="J10" s="71">
        <f t="shared" ref="J10:J28" si="6">0.2*I10+8*K10-4</f>
        <v>-1.4247873914102915</v>
      </c>
      <c r="K10">
        <v>0.52190157607371357</v>
      </c>
      <c r="M10" s="70">
        <v>-8</v>
      </c>
      <c r="N10" s="71">
        <f t="shared" ref="N10:N28" si="7">8*O10-4</f>
        <v>0.17521260858970855</v>
      </c>
      <c r="O10">
        <v>0.52190157607371357</v>
      </c>
      <c r="Q10" s="70">
        <v>-8</v>
      </c>
      <c r="R10" s="71">
        <f t="shared" ref="R10:R28" si="8">-Q10*0.5+S10*12-6</f>
        <v>2.1417813799589087</v>
      </c>
      <c r="S10">
        <v>0.3451484483299091</v>
      </c>
      <c r="U10" s="70">
        <v>-8</v>
      </c>
      <c r="V10" s="71">
        <f t="shared" ref="V10:V28" si="9">-U10+W10*5</f>
        <v>10.609507880368568</v>
      </c>
      <c r="W10">
        <v>0.52190157607371357</v>
      </c>
      <c r="AO10" s="94">
        <v>-8</v>
      </c>
      <c r="AP10" s="97">
        <f t="shared" ref="AP10:AP28" si="10">SQRT(10^2-AO10^2)</f>
        <v>6</v>
      </c>
      <c r="AQ10" s="94"/>
      <c r="AR10" s="94">
        <v>-4</v>
      </c>
      <c r="AS10" s="97">
        <v>5</v>
      </c>
      <c r="AT10" s="95"/>
      <c r="AU10" s="94">
        <v>-4</v>
      </c>
      <c r="AV10" s="97">
        <f t="shared" ref="AV10:AV19" si="11">AU10^2</f>
        <v>16</v>
      </c>
      <c r="AW10" s="95"/>
      <c r="AX10" s="94">
        <v>1</v>
      </c>
      <c r="AY10" s="97">
        <f>AX10</f>
        <v>1</v>
      </c>
      <c r="BQ10" s="70">
        <v>-5</v>
      </c>
      <c r="BR10" s="70">
        <v>-12</v>
      </c>
      <c r="CB10" s="70">
        <v>-5</v>
      </c>
      <c r="CC10" s="70">
        <f t="shared" si="1"/>
        <v>25</v>
      </c>
      <c r="CM10" s="70">
        <f t="shared" ref="CM10:CM27" si="12">CM9+1</f>
        <v>4</v>
      </c>
      <c r="CN10" s="71">
        <f t="shared" si="2"/>
        <v>3.7348718889554293</v>
      </c>
      <c r="CO10">
        <v>0.78914531482590489</v>
      </c>
      <c r="CY10" s="70">
        <f t="shared" si="3"/>
        <v>-7.5</v>
      </c>
      <c r="CZ10" s="71">
        <f t="shared" si="4"/>
        <v>-1.996544888636282</v>
      </c>
      <c r="DA10">
        <v>0.78914531482590489</v>
      </c>
      <c r="DK10" s="70">
        <v>4.4000000000000004</v>
      </c>
      <c r="DL10" s="71">
        <v>14.25</v>
      </c>
      <c r="DV10" s="70">
        <v>92</v>
      </c>
      <c r="DW10" s="71">
        <v>62</v>
      </c>
    </row>
    <row r="11" spans="1:127" x14ac:dyDescent="0.25">
      <c r="B11" s="70">
        <f t="shared" ref="B11:B28" si="13">B10+1</f>
        <v>-7</v>
      </c>
      <c r="C11" s="70">
        <f t="shared" si="0"/>
        <v>-7</v>
      </c>
      <c r="E11" s="70">
        <f t="shared" ref="E11:E28" si="14">E10+1</f>
        <v>-7</v>
      </c>
      <c r="F11" s="71">
        <f t="shared" si="5"/>
        <v>-1.7651281110445707</v>
      </c>
      <c r="G11">
        <v>0.78914531482590489</v>
      </c>
      <c r="I11" s="70">
        <f t="shared" ref="I11:I28" si="15">I10+1</f>
        <v>-7</v>
      </c>
      <c r="J11" s="71">
        <f t="shared" si="6"/>
        <v>0.10141541051930503</v>
      </c>
      <c r="K11">
        <v>0.68767692631491317</v>
      </c>
      <c r="M11" s="70">
        <f t="shared" ref="M11:M28" si="16">M10+1</f>
        <v>-7</v>
      </c>
      <c r="N11" s="71">
        <f t="shared" si="7"/>
        <v>1.5014154105193054</v>
      </c>
      <c r="O11">
        <v>0.68767692631491317</v>
      </c>
      <c r="Q11" s="70">
        <f t="shared" ref="Q11:Q28" si="17">Q10+1</f>
        <v>-7</v>
      </c>
      <c r="R11" s="71">
        <f t="shared" si="8"/>
        <v>6.4840477800096892</v>
      </c>
      <c r="S11">
        <v>0.74867064833414076</v>
      </c>
      <c r="U11" s="70">
        <f t="shared" ref="U11:U28" si="18">U10+1</f>
        <v>-7</v>
      </c>
      <c r="V11" s="71">
        <f t="shared" si="9"/>
        <v>10.438384631574566</v>
      </c>
      <c r="W11">
        <v>0.68767692631491317</v>
      </c>
      <c r="AO11" s="94">
        <f t="shared" ref="AO11:AO28" si="19">AO10+1</f>
        <v>-7</v>
      </c>
      <c r="AP11" s="97">
        <f t="shared" si="10"/>
        <v>7.1414284285428504</v>
      </c>
      <c r="AQ11" s="94"/>
      <c r="AR11" s="94">
        <v>-5</v>
      </c>
      <c r="AS11" s="97">
        <v>4</v>
      </c>
      <c r="AT11" s="95"/>
      <c r="AU11" s="94">
        <v>-3</v>
      </c>
      <c r="AV11" s="97">
        <f t="shared" si="11"/>
        <v>9</v>
      </c>
      <c r="AW11" s="95"/>
      <c r="AX11" s="94">
        <v>2</v>
      </c>
      <c r="AY11" s="97">
        <f t="shared" ref="AY11:AY15" si="20">AX11</f>
        <v>2</v>
      </c>
      <c r="BQ11" s="70">
        <v>18</v>
      </c>
      <c r="BR11" s="70">
        <v>-13</v>
      </c>
      <c r="CB11" s="70">
        <v>-4</v>
      </c>
      <c r="CC11" s="70">
        <f t="shared" si="1"/>
        <v>16</v>
      </c>
      <c r="CM11" s="70">
        <f t="shared" si="12"/>
        <v>5</v>
      </c>
      <c r="CN11" s="71">
        <f t="shared" si="2"/>
        <v>0.79468279765422523</v>
      </c>
      <c r="CO11">
        <v>0.21578046627570424</v>
      </c>
      <c r="CY11" s="70">
        <f t="shared" si="3"/>
        <v>-6.5</v>
      </c>
      <c r="CZ11" s="71">
        <f t="shared" si="4"/>
        <v>-4.9367339799374861</v>
      </c>
      <c r="DA11">
        <v>0.21578046627570424</v>
      </c>
      <c r="DK11" s="70">
        <v>-1.6</v>
      </c>
      <c r="DL11" s="71">
        <v>5.25</v>
      </c>
      <c r="DV11" s="70">
        <v>74</v>
      </c>
      <c r="DW11" s="71">
        <v>47</v>
      </c>
    </row>
    <row r="12" spans="1:127" x14ac:dyDescent="0.25">
      <c r="B12" s="70">
        <f t="shared" si="13"/>
        <v>-6</v>
      </c>
      <c r="C12" s="70">
        <f t="shared" si="0"/>
        <v>-6</v>
      </c>
      <c r="E12" s="70">
        <f t="shared" si="14"/>
        <v>-6</v>
      </c>
      <c r="F12" s="71">
        <f t="shared" si="5"/>
        <v>-4.7053172023457748</v>
      </c>
      <c r="G12">
        <v>0.21578046627570424</v>
      </c>
      <c r="I12" s="70">
        <f t="shared" si="15"/>
        <v>-6</v>
      </c>
      <c r="J12" s="71">
        <f t="shared" si="6"/>
        <v>2.3858770613784683</v>
      </c>
      <c r="K12">
        <v>0.94823463267230856</v>
      </c>
      <c r="M12" s="70">
        <f t="shared" si="16"/>
        <v>-6</v>
      </c>
      <c r="N12" s="71">
        <f t="shared" si="7"/>
        <v>3.5858770613784685</v>
      </c>
      <c r="O12">
        <v>0.94823463267230856</v>
      </c>
      <c r="Q12" s="70">
        <f t="shared" si="17"/>
        <v>-6</v>
      </c>
      <c r="R12" s="71">
        <f t="shared" si="8"/>
        <v>5.8605402109103313</v>
      </c>
      <c r="S12">
        <v>0.73837835090919424</v>
      </c>
      <c r="U12" s="70">
        <f t="shared" si="18"/>
        <v>-6</v>
      </c>
      <c r="V12" s="71">
        <f t="shared" si="9"/>
        <v>10.741173163361543</v>
      </c>
      <c r="W12">
        <v>0.94823463267230856</v>
      </c>
      <c r="AO12" s="94">
        <f t="shared" si="19"/>
        <v>-6</v>
      </c>
      <c r="AP12" s="97">
        <f t="shared" si="10"/>
        <v>8</v>
      </c>
      <c r="AQ12" s="94"/>
      <c r="AR12" s="94">
        <v>-4</v>
      </c>
      <c r="AS12" s="97">
        <v>4</v>
      </c>
      <c r="AT12" s="95"/>
      <c r="AU12" s="94">
        <v>-2</v>
      </c>
      <c r="AV12" s="97">
        <f t="shared" si="11"/>
        <v>4</v>
      </c>
      <c r="AW12" s="95"/>
      <c r="AX12" s="94">
        <v>3</v>
      </c>
      <c r="AY12" s="97">
        <f t="shared" si="20"/>
        <v>3</v>
      </c>
      <c r="BQ12" s="70">
        <v>20</v>
      </c>
      <c r="BR12" s="70">
        <v>-11</v>
      </c>
      <c r="CB12" s="70">
        <v>-3</v>
      </c>
      <c r="CC12" s="70">
        <f t="shared" si="1"/>
        <v>9</v>
      </c>
      <c r="CM12" s="70">
        <f t="shared" si="12"/>
        <v>6</v>
      </c>
      <c r="CN12" s="71">
        <f t="shared" si="2"/>
        <v>2.5758187155792376</v>
      </c>
      <c r="CO12">
        <v>0.4293031192632063</v>
      </c>
      <c r="CY12" s="70">
        <f t="shared" si="3"/>
        <v>-5.5</v>
      </c>
      <c r="CZ12" s="71">
        <f t="shared" si="4"/>
        <v>-3.1555980620124737</v>
      </c>
      <c r="DA12">
        <v>0.4293031192632063</v>
      </c>
      <c r="DK12" s="70">
        <v>4.4000000000000004</v>
      </c>
      <c r="DL12" s="71">
        <v>-8.75</v>
      </c>
      <c r="DV12" s="70">
        <v>10</v>
      </c>
      <c r="DW12" s="71">
        <v>99</v>
      </c>
    </row>
    <row r="13" spans="1:127" x14ac:dyDescent="0.25">
      <c r="B13" s="70">
        <f t="shared" si="13"/>
        <v>-5</v>
      </c>
      <c r="C13" s="70">
        <f t="shared" si="0"/>
        <v>-5</v>
      </c>
      <c r="E13" s="70">
        <f t="shared" si="14"/>
        <v>-5</v>
      </c>
      <c r="F13" s="71">
        <f t="shared" si="5"/>
        <v>-2.9241812844207624</v>
      </c>
      <c r="G13">
        <v>0.4293031192632063</v>
      </c>
      <c r="I13" s="70">
        <f t="shared" si="15"/>
        <v>-5</v>
      </c>
      <c r="J13" s="71">
        <f t="shared" si="6"/>
        <v>-2.7956912023656004</v>
      </c>
      <c r="K13">
        <v>0.27553859970429995</v>
      </c>
      <c r="M13" s="70">
        <f t="shared" si="16"/>
        <v>-5</v>
      </c>
      <c r="N13" s="71">
        <f t="shared" si="7"/>
        <v>-1.7956912023656004</v>
      </c>
      <c r="O13">
        <v>0.27553859970429995</v>
      </c>
      <c r="Q13" s="70">
        <f t="shared" si="17"/>
        <v>-5</v>
      </c>
      <c r="R13" s="71">
        <f t="shared" si="8"/>
        <v>0.27478014985841526</v>
      </c>
      <c r="S13">
        <v>0.31456501248820123</v>
      </c>
      <c r="U13" s="70">
        <f t="shared" si="18"/>
        <v>-5</v>
      </c>
      <c r="V13" s="71">
        <f t="shared" si="9"/>
        <v>6.3776929985214998</v>
      </c>
      <c r="W13">
        <v>0.27553859970429995</v>
      </c>
      <c r="AO13" s="94">
        <f t="shared" si="19"/>
        <v>-5</v>
      </c>
      <c r="AP13" s="97">
        <f t="shared" si="10"/>
        <v>8.6602540378443873</v>
      </c>
      <c r="AQ13" s="94"/>
      <c r="AR13" s="94">
        <v>5</v>
      </c>
      <c r="AS13" s="97">
        <v>5</v>
      </c>
      <c r="AT13" s="95"/>
      <c r="AU13" s="94">
        <v>-1</v>
      </c>
      <c r="AV13" s="97">
        <f t="shared" si="11"/>
        <v>1</v>
      </c>
      <c r="AW13" s="95"/>
      <c r="AX13" s="94">
        <v>4</v>
      </c>
      <c r="AY13" s="97">
        <f t="shared" si="20"/>
        <v>4</v>
      </c>
      <c r="BQ13" s="70">
        <v>15</v>
      </c>
      <c r="BR13" s="70">
        <v>-22</v>
      </c>
      <c r="CB13" s="70">
        <v>-2</v>
      </c>
      <c r="CC13" s="70">
        <f t="shared" si="1"/>
        <v>4</v>
      </c>
      <c r="CM13" s="70">
        <f t="shared" si="12"/>
        <v>7</v>
      </c>
      <c r="CN13" s="71">
        <f t="shared" si="2"/>
        <v>5.6387229176081952</v>
      </c>
      <c r="CO13">
        <v>0.85645381960136568</v>
      </c>
      <c r="CY13" s="70">
        <f t="shared" si="3"/>
        <v>-4.5</v>
      </c>
      <c r="CZ13" s="71">
        <f t="shared" si="4"/>
        <v>-9.2693859983516091E-2</v>
      </c>
      <c r="DA13">
        <v>0.85645381960136568</v>
      </c>
      <c r="DK13" s="70">
        <v>-0.60000000000000009</v>
      </c>
      <c r="DL13" s="71">
        <v>15.25</v>
      </c>
      <c r="DV13" s="70">
        <v>33</v>
      </c>
      <c r="DW13" s="71">
        <v>18</v>
      </c>
    </row>
    <row r="14" spans="1:127" x14ac:dyDescent="0.25">
      <c r="B14" s="70">
        <f t="shared" si="13"/>
        <v>-4</v>
      </c>
      <c r="C14" s="70">
        <f t="shared" si="0"/>
        <v>-4</v>
      </c>
      <c r="E14" s="70">
        <f t="shared" si="14"/>
        <v>-4</v>
      </c>
      <c r="F14" s="71">
        <f t="shared" si="5"/>
        <v>0.13872291760819433</v>
      </c>
      <c r="G14">
        <v>0.85645381960136568</v>
      </c>
      <c r="I14" s="70">
        <f t="shared" si="15"/>
        <v>-4</v>
      </c>
      <c r="J14" s="71">
        <f t="shared" si="6"/>
        <v>-3.4196644864735655</v>
      </c>
      <c r="K14">
        <v>0.17254193919080429</v>
      </c>
      <c r="M14" s="70">
        <f t="shared" si="16"/>
        <v>-4</v>
      </c>
      <c r="N14" s="71">
        <f t="shared" si="7"/>
        <v>-2.6196644864735656</v>
      </c>
      <c r="O14">
        <v>0.17254193919080429</v>
      </c>
      <c r="Q14" s="70">
        <f t="shared" si="17"/>
        <v>-4</v>
      </c>
      <c r="R14" s="71">
        <f t="shared" si="8"/>
        <v>2.8818741652598518</v>
      </c>
      <c r="S14">
        <v>0.57348951377165436</v>
      </c>
      <c r="U14" s="70">
        <f t="shared" si="18"/>
        <v>-4</v>
      </c>
      <c r="V14" s="71">
        <f t="shared" si="9"/>
        <v>4.8627096959540212</v>
      </c>
      <c r="W14">
        <v>0.17254193919080429</v>
      </c>
      <c r="AO14" s="94">
        <f t="shared" si="19"/>
        <v>-4</v>
      </c>
      <c r="AP14" s="97">
        <f t="shared" si="10"/>
        <v>9.1651513899116797</v>
      </c>
      <c r="AQ14" s="94"/>
      <c r="AR14" s="94">
        <v>4</v>
      </c>
      <c r="AS14" s="97">
        <v>5</v>
      </c>
      <c r="AT14" s="95"/>
      <c r="AU14" s="94">
        <v>0</v>
      </c>
      <c r="AV14" s="97">
        <f t="shared" si="11"/>
        <v>0</v>
      </c>
      <c r="AW14" s="95"/>
      <c r="AX14" s="94">
        <v>5</v>
      </c>
      <c r="AY14" s="97">
        <f t="shared" si="20"/>
        <v>5</v>
      </c>
      <c r="BQ14" s="70">
        <v>-20</v>
      </c>
      <c r="BR14" s="70">
        <v>18</v>
      </c>
      <c r="CB14" s="70">
        <v>-1</v>
      </c>
      <c r="CC14" s="70">
        <f t="shared" si="1"/>
        <v>1</v>
      </c>
      <c r="CM14" s="70">
        <f t="shared" si="12"/>
        <v>8</v>
      </c>
      <c r="CN14" s="71">
        <f t="shared" si="2"/>
        <v>2.3648867661516686</v>
      </c>
      <c r="CO14">
        <v>0.22748112769194484</v>
      </c>
      <c r="CY14" s="70">
        <f t="shared" si="3"/>
        <v>-3.5</v>
      </c>
      <c r="CZ14" s="71">
        <f t="shared" si="4"/>
        <v>-3.3665300114400427</v>
      </c>
      <c r="DA14">
        <v>0.22748112769194484</v>
      </c>
      <c r="DK14" s="70">
        <v>-7.6</v>
      </c>
      <c r="DL14" s="71">
        <v>-2.75</v>
      </c>
      <c r="DV14" s="70">
        <v>58</v>
      </c>
      <c r="DW14" s="71">
        <v>99</v>
      </c>
    </row>
    <row r="15" spans="1:127" x14ac:dyDescent="0.25">
      <c r="B15" s="70">
        <f t="shared" si="13"/>
        <v>-3</v>
      </c>
      <c r="C15" s="70">
        <f t="shared" si="0"/>
        <v>-3</v>
      </c>
      <c r="E15" s="70">
        <f t="shared" si="14"/>
        <v>-3</v>
      </c>
      <c r="F15" s="71">
        <f t="shared" si="5"/>
        <v>-3.135113233848331</v>
      </c>
      <c r="G15">
        <v>0.22748112769194484</v>
      </c>
      <c r="I15" s="70">
        <f t="shared" si="15"/>
        <v>-3</v>
      </c>
      <c r="J15" s="71">
        <f t="shared" si="6"/>
        <v>0.44747087353735715</v>
      </c>
      <c r="K15">
        <v>0.63093385919216971</v>
      </c>
      <c r="M15" s="70">
        <f t="shared" si="16"/>
        <v>-3</v>
      </c>
      <c r="N15" s="71">
        <f t="shared" si="7"/>
        <v>1.0474708735373577</v>
      </c>
      <c r="O15">
        <v>0.63093385919216971</v>
      </c>
      <c r="Q15" s="70">
        <f t="shared" si="17"/>
        <v>-3</v>
      </c>
      <c r="R15" s="71">
        <f t="shared" si="8"/>
        <v>-0.5244192902346132</v>
      </c>
      <c r="S15">
        <v>0.3312983924804489</v>
      </c>
      <c r="U15" s="70">
        <f t="shared" si="18"/>
        <v>-3</v>
      </c>
      <c r="V15" s="71">
        <f t="shared" si="9"/>
        <v>6.1546692959608489</v>
      </c>
      <c r="W15">
        <v>0.63093385919216971</v>
      </c>
      <c r="AO15" s="94">
        <f t="shared" si="19"/>
        <v>-3</v>
      </c>
      <c r="AP15" s="97">
        <f t="shared" si="10"/>
        <v>9.5393920141694561</v>
      </c>
      <c r="AQ15" s="94"/>
      <c r="AR15" s="94">
        <v>5</v>
      </c>
      <c r="AS15" s="97">
        <v>4</v>
      </c>
      <c r="AT15" s="95"/>
      <c r="AU15" s="94">
        <v>1</v>
      </c>
      <c r="AV15" s="97">
        <f t="shared" si="11"/>
        <v>1</v>
      </c>
      <c r="AW15" s="95"/>
      <c r="AX15" s="94">
        <v>6</v>
      </c>
      <c r="AY15" s="97">
        <f t="shared" si="20"/>
        <v>6</v>
      </c>
      <c r="BQ15" s="70">
        <v>-40</v>
      </c>
      <c r="BR15" s="70">
        <v>-40</v>
      </c>
      <c r="CB15" s="70">
        <v>0</v>
      </c>
      <c r="CC15" s="70">
        <f t="shared" si="1"/>
        <v>0</v>
      </c>
      <c r="CM15" s="70">
        <f t="shared" si="12"/>
        <v>9</v>
      </c>
      <c r="CN15" s="71">
        <f t="shared" si="2"/>
        <v>7.0197139440825911</v>
      </c>
      <c r="CO15">
        <v>0.91995232401376525</v>
      </c>
      <c r="CY15" s="70">
        <f t="shared" si="3"/>
        <v>-2.5</v>
      </c>
      <c r="CZ15" s="71">
        <f t="shared" si="4"/>
        <v>1.2882971664908798</v>
      </c>
      <c r="DA15">
        <v>0.91995232401376525</v>
      </c>
      <c r="DK15" s="70">
        <v>-11.6</v>
      </c>
      <c r="DL15" s="71">
        <v>-18.75</v>
      </c>
      <c r="DV15" s="70">
        <v>55</v>
      </c>
      <c r="DW15" s="71">
        <v>29</v>
      </c>
    </row>
    <row r="16" spans="1:127" x14ac:dyDescent="0.25">
      <c r="B16" s="70">
        <f t="shared" si="13"/>
        <v>-2</v>
      </c>
      <c r="C16" s="70">
        <f t="shared" si="0"/>
        <v>-2</v>
      </c>
      <c r="E16" s="70">
        <f t="shared" si="14"/>
        <v>-2</v>
      </c>
      <c r="F16" s="71">
        <f t="shared" si="5"/>
        <v>1.5197139440825911</v>
      </c>
      <c r="G16">
        <v>0.91995232401376525</v>
      </c>
      <c r="I16" s="70">
        <f t="shared" si="15"/>
        <v>-2</v>
      </c>
      <c r="J16" s="71">
        <f t="shared" si="6"/>
        <v>-0.79497328930965017</v>
      </c>
      <c r="K16">
        <v>0.45062833883629372</v>
      </c>
      <c r="M16" s="70">
        <f t="shared" si="16"/>
        <v>-2</v>
      </c>
      <c r="N16" s="71">
        <f t="shared" si="7"/>
        <v>-0.39497328930965026</v>
      </c>
      <c r="O16">
        <v>0.45062833883629372</v>
      </c>
      <c r="Q16" s="70">
        <f t="shared" si="17"/>
        <v>-2</v>
      </c>
      <c r="R16" s="71">
        <f t="shared" si="8"/>
        <v>-2.2080601993347355</v>
      </c>
      <c r="S16">
        <v>0.23266165005543871</v>
      </c>
      <c r="U16" s="70">
        <f t="shared" si="18"/>
        <v>-2</v>
      </c>
      <c r="V16" s="71">
        <f t="shared" si="9"/>
        <v>4.253141694181469</v>
      </c>
      <c r="W16">
        <v>0.45062833883629372</v>
      </c>
      <c r="AO16" s="94">
        <f t="shared" si="19"/>
        <v>-2</v>
      </c>
      <c r="AP16" s="97">
        <f t="shared" si="10"/>
        <v>9.7979589711327115</v>
      </c>
      <c r="AQ16" s="94"/>
      <c r="AR16" s="94">
        <v>4</v>
      </c>
      <c r="AS16" s="97">
        <v>4</v>
      </c>
      <c r="AT16" s="95"/>
      <c r="AU16" s="94">
        <v>2</v>
      </c>
      <c r="AV16" s="97">
        <f t="shared" si="11"/>
        <v>4</v>
      </c>
      <c r="AW16" s="95"/>
      <c r="AX16" s="94">
        <f>0</f>
        <v>0</v>
      </c>
      <c r="AY16" s="97">
        <f>AX16*-1</f>
        <v>0</v>
      </c>
      <c r="BQ16" s="70">
        <v>13</v>
      </c>
      <c r="BR16" s="70">
        <v>6</v>
      </c>
      <c r="CB16" s="70">
        <v>1</v>
      </c>
      <c r="CC16" s="70">
        <f t="shared" si="1"/>
        <v>1</v>
      </c>
      <c r="CM16" s="70">
        <f t="shared" si="12"/>
        <v>10</v>
      </c>
      <c r="CN16" s="71">
        <f t="shared" si="2"/>
        <v>2.4844943108964737</v>
      </c>
      <c r="CO16">
        <v>8.0749051816078943E-2</v>
      </c>
      <c r="CY16" s="70">
        <f t="shared" si="3"/>
        <v>-1.5</v>
      </c>
      <c r="CZ16" s="71">
        <f t="shared" si="4"/>
        <v>-3.2469224666952377</v>
      </c>
      <c r="DA16">
        <v>8.0749051816078943E-2</v>
      </c>
      <c r="DK16" s="70">
        <v>12.4</v>
      </c>
      <c r="DL16" s="71">
        <v>-3.75</v>
      </c>
      <c r="DV16" s="70">
        <v>63</v>
      </c>
      <c r="DW16" s="71">
        <v>48</v>
      </c>
    </row>
    <row r="17" spans="2:127" x14ac:dyDescent="0.25">
      <c r="B17" s="70">
        <f t="shared" si="13"/>
        <v>-1</v>
      </c>
      <c r="C17" s="70">
        <f t="shared" si="0"/>
        <v>-1</v>
      </c>
      <c r="E17" s="70">
        <f t="shared" si="14"/>
        <v>-1</v>
      </c>
      <c r="F17" s="71">
        <f t="shared" si="5"/>
        <v>-3.0155056891035263</v>
      </c>
      <c r="G17">
        <v>8.0749051816078943E-2</v>
      </c>
      <c r="I17" s="70">
        <f t="shared" si="15"/>
        <v>-1</v>
      </c>
      <c r="J17" s="71">
        <f t="shared" si="6"/>
        <v>1.536302618297765</v>
      </c>
      <c r="K17">
        <v>0.71703782728722065</v>
      </c>
      <c r="M17" s="70">
        <f t="shared" si="16"/>
        <v>-1</v>
      </c>
      <c r="N17" s="71">
        <f t="shared" si="7"/>
        <v>1.7363026182977652</v>
      </c>
      <c r="O17">
        <v>0.71703782728722065</v>
      </c>
      <c r="Q17" s="70">
        <f t="shared" si="17"/>
        <v>-1</v>
      </c>
      <c r="R17" s="71">
        <f t="shared" si="8"/>
        <v>-5.4989709927300296</v>
      </c>
      <c r="S17">
        <v>8.5750605830825499E-5</v>
      </c>
      <c r="U17" s="70">
        <f t="shared" si="18"/>
        <v>-1</v>
      </c>
      <c r="V17" s="71">
        <f t="shared" si="9"/>
        <v>4.585189136436103</v>
      </c>
      <c r="W17">
        <v>0.71703782728722065</v>
      </c>
      <c r="AO17" s="94">
        <f t="shared" si="19"/>
        <v>-1</v>
      </c>
      <c r="AP17" s="97">
        <f t="shared" si="10"/>
        <v>9.9498743710661994</v>
      </c>
      <c r="AQ17" s="94"/>
      <c r="AR17" s="94"/>
      <c r="AS17" s="97"/>
      <c r="AT17" s="95"/>
      <c r="AU17" s="94">
        <v>3</v>
      </c>
      <c r="AV17" s="97">
        <f t="shared" si="11"/>
        <v>9</v>
      </c>
      <c r="AW17" s="95"/>
      <c r="AX17" s="94">
        <v>1</v>
      </c>
      <c r="AY17" s="97">
        <f>AX17*-1</f>
        <v>-1</v>
      </c>
      <c r="BQ17" s="70">
        <v>-29</v>
      </c>
      <c r="BR17" s="70">
        <v>-9</v>
      </c>
      <c r="CB17" s="70">
        <v>2</v>
      </c>
      <c r="CC17" s="70">
        <f t="shared" si="1"/>
        <v>4</v>
      </c>
      <c r="CM17" s="70">
        <f t="shared" si="12"/>
        <v>11</v>
      </c>
      <c r="CN17" s="71">
        <f t="shared" si="2"/>
        <v>4.263859925041368</v>
      </c>
      <c r="CO17">
        <v>0.29397665417356134</v>
      </c>
      <c r="CY17" s="70">
        <f t="shared" si="3"/>
        <v>-0.5</v>
      </c>
      <c r="CZ17" s="71">
        <f t="shared" si="4"/>
        <v>-1.4675568525503433</v>
      </c>
      <c r="DA17">
        <v>0.29397665417356134</v>
      </c>
      <c r="DK17" s="70">
        <v>15.4</v>
      </c>
      <c r="DL17" s="71">
        <v>-1.75</v>
      </c>
      <c r="DV17" s="70">
        <v>80</v>
      </c>
      <c r="DW17" s="71">
        <v>60</v>
      </c>
    </row>
    <row r="18" spans="2:127" x14ac:dyDescent="0.25">
      <c r="B18" s="70">
        <f t="shared" si="13"/>
        <v>0</v>
      </c>
      <c r="C18" s="70">
        <f t="shared" si="0"/>
        <v>0</v>
      </c>
      <c r="E18" s="70">
        <f t="shared" si="14"/>
        <v>0</v>
      </c>
      <c r="F18" s="71">
        <f t="shared" si="5"/>
        <v>-1.236140074958632</v>
      </c>
      <c r="G18">
        <v>0.29397665417356134</v>
      </c>
      <c r="I18" s="70">
        <f t="shared" si="15"/>
        <v>0</v>
      </c>
      <c r="J18" s="71">
        <f t="shared" si="6"/>
        <v>-3.1423467655571118</v>
      </c>
      <c r="K18">
        <v>0.10720665430536103</v>
      </c>
      <c r="M18" s="70">
        <f t="shared" si="16"/>
        <v>0</v>
      </c>
      <c r="N18" s="71">
        <f t="shared" si="7"/>
        <v>-3.1423467655571118</v>
      </c>
      <c r="O18">
        <v>0.10720665430536103</v>
      </c>
      <c r="Q18" s="70">
        <f t="shared" si="17"/>
        <v>0</v>
      </c>
      <c r="R18" s="71">
        <f t="shared" si="8"/>
        <v>-4.6312966461788303</v>
      </c>
      <c r="S18">
        <v>0.11405861281843077</v>
      </c>
      <c r="U18" s="70">
        <f t="shared" si="18"/>
        <v>0</v>
      </c>
      <c r="V18" s="71">
        <f t="shared" si="9"/>
        <v>0.53603327152680513</v>
      </c>
      <c r="W18">
        <v>0.10720665430536103</v>
      </c>
      <c r="AO18" s="94">
        <f t="shared" si="19"/>
        <v>0</v>
      </c>
      <c r="AP18" s="97">
        <f t="shared" si="10"/>
        <v>10</v>
      </c>
      <c r="AQ18" s="94"/>
      <c r="AR18" s="94"/>
      <c r="AS18" s="97"/>
      <c r="AT18" s="95"/>
      <c r="AU18" s="94">
        <v>4</v>
      </c>
      <c r="AV18" s="97">
        <f t="shared" si="11"/>
        <v>16</v>
      </c>
      <c r="AW18" s="95"/>
      <c r="AX18" s="94">
        <v>2</v>
      </c>
      <c r="AY18" s="97">
        <f t="shared" ref="AY18:AY22" si="21">AX18*-1</f>
        <v>-2</v>
      </c>
      <c r="BQ18" s="70">
        <v>-48</v>
      </c>
      <c r="BR18" s="70">
        <v>48</v>
      </c>
      <c r="CB18" s="70">
        <v>3</v>
      </c>
      <c r="CC18" s="70">
        <f t="shared" si="1"/>
        <v>9</v>
      </c>
      <c r="CM18" s="70">
        <f t="shared" si="12"/>
        <v>12</v>
      </c>
      <c r="CN18" s="71">
        <f t="shared" si="2"/>
        <v>7.4406621576554706</v>
      </c>
      <c r="CO18">
        <v>0.74011035960924498</v>
      </c>
      <c r="CY18" s="70">
        <f t="shared" si="3"/>
        <v>0.5</v>
      </c>
      <c r="CZ18" s="71">
        <f t="shared" si="4"/>
        <v>1.7092453800637593</v>
      </c>
      <c r="DA18">
        <v>0.74011035960924498</v>
      </c>
      <c r="DK18" s="70">
        <v>-12.6</v>
      </c>
      <c r="DL18" s="71">
        <v>-3.75</v>
      </c>
      <c r="DV18" s="70">
        <v>14</v>
      </c>
      <c r="DW18" s="71">
        <v>88</v>
      </c>
    </row>
    <row r="19" spans="2:127" x14ac:dyDescent="0.25">
      <c r="B19" s="70">
        <f t="shared" si="13"/>
        <v>1</v>
      </c>
      <c r="C19" s="70">
        <f t="shared" si="0"/>
        <v>1</v>
      </c>
      <c r="E19" s="70">
        <f t="shared" si="14"/>
        <v>1</v>
      </c>
      <c r="F19" s="71">
        <f t="shared" si="5"/>
        <v>1.9406621576554697</v>
      </c>
      <c r="G19">
        <v>0.74011035960924498</v>
      </c>
      <c r="I19" s="70">
        <f t="shared" si="15"/>
        <v>1</v>
      </c>
      <c r="J19" s="71">
        <f t="shared" si="6"/>
        <v>3.1436717817741604</v>
      </c>
      <c r="K19">
        <v>0.86795897272177003</v>
      </c>
      <c r="M19" s="70">
        <f t="shared" si="16"/>
        <v>1</v>
      </c>
      <c r="N19" s="71">
        <f t="shared" si="7"/>
        <v>2.9436717817741602</v>
      </c>
      <c r="O19">
        <v>0.86795897272177003</v>
      </c>
      <c r="Q19" s="70">
        <f t="shared" si="17"/>
        <v>1</v>
      </c>
      <c r="R19" s="71">
        <f t="shared" si="8"/>
        <v>-1.3350291938588237</v>
      </c>
      <c r="S19">
        <v>0.43041423384509803</v>
      </c>
      <c r="U19" s="70">
        <f t="shared" si="18"/>
        <v>1</v>
      </c>
      <c r="V19" s="71">
        <f t="shared" si="9"/>
        <v>3.3397948636088497</v>
      </c>
      <c r="W19">
        <v>0.86795897272177003</v>
      </c>
      <c r="AO19" s="94">
        <f t="shared" si="19"/>
        <v>1</v>
      </c>
      <c r="AP19" s="97">
        <f t="shared" si="10"/>
        <v>9.9498743710661994</v>
      </c>
      <c r="AQ19" s="94"/>
      <c r="AR19" s="94"/>
      <c r="AS19" s="97"/>
      <c r="AT19" s="95"/>
      <c r="AU19" s="94">
        <v>5</v>
      </c>
      <c r="AV19" s="97">
        <f t="shared" si="11"/>
        <v>25</v>
      </c>
      <c r="AW19" s="95"/>
      <c r="AX19" s="94">
        <v>3</v>
      </c>
      <c r="AY19" s="97">
        <f t="shared" si="21"/>
        <v>-3</v>
      </c>
      <c r="BQ19" s="70">
        <v>45</v>
      </c>
      <c r="BR19" s="70">
        <v>-29</v>
      </c>
      <c r="CB19" s="70">
        <v>4</v>
      </c>
      <c r="CC19" s="70">
        <f t="shared" si="1"/>
        <v>16</v>
      </c>
      <c r="CM19" s="70">
        <f t="shared" si="12"/>
        <v>13</v>
      </c>
      <c r="CN19" s="71">
        <f t="shared" si="2"/>
        <v>6.3124673747361868</v>
      </c>
      <c r="CO19">
        <v>0.46874456245603102</v>
      </c>
      <c r="CY19" s="70">
        <f t="shared" si="3"/>
        <v>1.5</v>
      </c>
      <c r="CZ19" s="71">
        <f t="shared" si="4"/>
        <v>0.58105059714447549</v>
      </c>
      <c r="DA19">
        <v>0.46874456245603102</v>
      </c>
      <c r="DK19" s="70">
        <v>15.4</v>
      </c>
      <c r="DL19" s="71">
        <v>-13.75</v>
      </c>
      <c r="DV19" s="70">
        <v>18</v>
      </c>
      <c r="DW19" s="71">
        <v>27</v>
      </c>
    </row>
    <row r="20" spans="2:127" x14ac:dyDescent="0.25">
      <c r="B20" s="70">
        <f t="shared" si="13"/>
        <v>2</v>
      </c>
      <c r="C20" s="70">
        <f t="shared" si="0"/>
        <v>2</v>
      </c>
      <c r="E20" s="70">
        <f t="shared" si="14"/>
        <v>2</v>
      </c>
      <c r="F20" s="71">
        <f t="shared" si="5"/>
        <v>0.81246737473618591</v>
      </c>
      <c r="G20">
        <v>0.46874456245603102</v>
      </c>
      <c r="I20" s="70">
        <f t="shared" si="15"/>
        <v>2</v>
      </c>
      <c r="J20" s="71">
        <f t="shared" si="6"/>
        <v>3.9673884717735923</v>
      </c>
      <c r="K20">
        <v>0.945923558971699</v>
      </c>
      <c r="M20" s="70">
        <f t="shared" si="16"/>
        <v>2</v>
      </c>
      <c r="N20" s="71">
        <f t="shared" si="7"/>
        <v>3.567388471773592</v>
      </c>
      <c r="O20">
        <v>0.945923558971699</v>
      </c>
      <c r="Q20" s="70">
        <f t="shared" si="17"/>
        <v>2</v>
      </c>
      <c r="R20" s="71">
        <f t="shared" si="8"/>
        <v>-5.8809463574618022</v>
      </c>
      <c r="S20">
        <v>9.3254470211516449E-2</v>
      </c>
      <c r="U20" s="70">
        <f t="shared" si="18"/>
        <v>2</v>
      </c>
      <c r="V20" s="71">
        <f t="shared" si="9"/>
        <v>2.7296177948584948</v>
      </c>
      <c r="W20">
        <v>0.945923558971699</v>
      </c>
      <c r="AO20" s="94">
        <f t="shared" si="19"/>
        <v>2</v>
      </c>
      <c r="AP20" s="97">
        <f t="shared" si="10"/>
        <v>9.7979589711327115</v>
      </c>
      <c r="AQ20" s="94"/>
      <c r="AR20" s="94"/>
      <c r="AS20" s="97"/>
      <c r="AT20" s="95"/>
      <c r="AU20" s="94"/>
      <c r="AV20" s="97"/>
      <c r="AW20" s="95"/>
      <c r="AX20" s="94">
        <v>4</v>
      </c>
      <c r="AY20" s="97">
        <f t="shared" si="21"/>
        <v>-4</v>
      </c>
      <c r="BQ20" s="70">
        <v>21</v>
      </c>
      <c r="BR20" s="70">
        <v>-7</v>
      </c>
      <c r="CB20" s="70">
        <v>5</v>
      </c>
      <c r="CC20" s="70">
        <f t="shared" si="1"/>
        <v>25</v>
      </c>
      <c r="CM20" s="70">
        <f t="shared" si="12"/>
        <v>14</v>
      </c>
      <c r="CN20" s="71">
        <f t="shared" si="2"/>
        <v>6.7164752244613624</v>
      </c>
      <c r="CO20">
        <v>0.45274587074356054</v>
      </c>
      <c r="CY20" s="70">
        <f t="shared" si="3"/>
        <v>2.5</v>
      </c>
      <c r="CZ20" s="71">
        <f t="shared" si="4"/>
        <v>0.98505844686965105</v>
      </c>
      <c r="DA20">
        <v>0.45274587074356054</v>
      </c>
      <c r="DK20" s="70">
        <v>-7.6</v>
      </c>
      <c r="DL20" s="71">
        <v>19.25</v>
      </c>
      <c r="DV20" s="70">
        <v>89</v>
      </c>
      <c r="DW20" s="71">
        <v>48</v>
      </c>
    </row>
    <row r="21" spans="2:127" x14ac:dyDescent="0.25">
      <c r="B21" s="70">
        <f t="shared" si="13"/>
        <v>3</v>
      </c>
      <c r="C21" s="70">
        <f t="shared" si="0"/>
        <v>3</v>
      </c>
      <c r="E21" s="70">
        <f t="shared" si="14"/>
        <v>3</v>
      </c>
      <c r="F21" s="71">
        <f t="shared" si="5"/>
        <v>1.2164752244613632</v>
      </c>
      <c r="G21">
        <v>0.45274587074356054</v>
      </c>
      <c r="I21" s="70">
        <f t="shared" si="15"/>
        <v>3</v>
      </c>
      <c r="J21" s="71">
        <f t="shared" si="6"/>
        <v>2.9011436573896017</v>
      </c>
      <c r="K21">
        <v>0.78764295717370025</v>
      </c>
      <c r="M21" s="70">
        <f t="shared" si="16"/>
        <v>3</v>
      </c>
      <c r="N21" s="71">
        <f t="shared" si="7"/>
        <v>2.301143657389602</v>
      </c>
      <c r="O21">
        <v>0.78764295717370025</v>
      </c>
      <c r="Q21" s="70">
        <f t="shared" si="17"/>
        <v>3</v>
      </c>
      <c r="R21" s="71">
        <f t="shared" si="8"/>
        <v>-5.9424171453795154</v>
      </c>
      <c r="S21">
        <v>0.12979857121837368</v>
      </c>
      <c r="U21" s="70">
        <f t="shared" si="18"/>
        <v>3</v>
      </c>
      <c r="V21" s="71">
        <f t="shared" si="9"/>
        <v>0.93821478586850127</v>
      </c>
      <c r="W21">
        <v>0.78764295717370025</v>
      </c>
      <c r="AO21" s="94">
        <f t="shared" si="19"/>
        <v>3</v>
      </c>
      <c r="AP21" s="97">
        <f t="shared" si="10"/>
        <v>9.5393920141694561</v>
      </c>
      <c r="AQ21" s="94"/>
      <c r="AR21" s="94"/>
      <c r="AS21" s="97"/>
      <c r="AT21" s="95"/>
      <c r="AU21" s="94"/>
      <c r="AV21" s="97"/>
      <c r="AW21" s="95"/>
      <c r="AX21" s="94">
        <v>5</v>
      </c>
      <c r="AY21" s="97">
        <f t="shared" si="21"/>
        <v>-5</v>
      </c>
      <c r="BQ21" s="70">
        <v>26</v>
      </c>
      <c r="BR21" s="70">
        <v>48</v>
      </c>
      <c r="CB21" s="70">
        <v>6</v>
      </c>
      <c r="CC21" s="70">
        <f t="shared" si="1"/>
        <v>36</v>
      </c>
      <c r="CM21" s="70">
        <f t="shared" si="12"/>
        <v>15</v>
      </c>
      <c r="CN21" s="71">
        <f t="shared" si="2"/>
        <v>8.05712993295408</v>
      </c>
      <c r="CO21">
        <v>0.59285498882568</v>
      </c>
      <c r="CY21" s="70">
        <f t="shared" si="3"/>
        <v>3.5</v>
      </c>
      <c r="CZ21" s="71">
        <f t="shared" si="4"/>
        <v>2.3257131553623687</v>
      </c>
      <c r="DA21">
        <v>0.59285498882568</v>
      </c>
      <c r="DK21" s="70">
        <v>-2.6</v>
      </c>
      <c r="DL21" s="71">
        <v>-6.75</v>
      </c>
      <c r="DV21" s="70">
        <v>28</v>
      </c>
      <c r="DW21" s="71">
        <v>10</v>
      </c>
    </row>
    <row r="22" spans="2:127" x14ac:dyDescent="0.25">
      <c r="B22" s="70">
        <f t="shared" si="13"/>
        <v>4</v>
      </c>
      <c r="C22" s="70">
        <f t="shared" si="0"/>
        <v>4</v>
      </c>
      <c r="E22" s="70">
        <f t="shared" si="14"/>
        <v>4</v>
      </c>
      <c r="F22" s="71">
        <f t="shared" si="5"/>
        <v>2.55712993295408</v>
      </c>
      <c r="G22">
        <v>0.59285498882568</v>
      </c>
      <c r="I22" s="70">
        <f t="shared" si="15"/>
        <v>4</v>
      </c>
      <c r="J22" s="71">
        <f t="shared" si="6"/>
        <v>4.6861407292372395</v>
      </c>
      <c r="K22">
        <v>0.98576759115465484</v>
      </c>
      <c r="M22" s="70">
        <f t="shared" si="16"/>
        <v>4</v>
      </c>
      <c r="N22" s="71">
        <f t="shared" si="7"/>
        <v>3.8861407292372387</v>
      </c>
      <c r="O22">
        <v>0.98576759115465484</v>
      </c>
      <c r="Q22" s="70">
        <f t="shared" si="17"/>
        <v>4</v>
      </c>
      <c r="R22" s="71">
        <f t="shared" si="8"/>
        <v>-3.1001455664822366</v>
      </c>
      <c r="S22">
        <v>0.40832120279314699</v>
      </c>
      <c r="U22" s="70">
        <f t="shared" si="18"/>
        <v>4</v>
      </c>
      <c r="V22" s="71">
        <f t="shared" si="9"/>
        <v>0.92883795577327444</v>
      </c>
      <c r="W22">
        <v>0.98576759115465484</v>
      </c>
      <c r="AO22" s="94">
        <f t="shared" si="19"/>
        <v>4</v>
      </c>
      <c r="AP22" s="97">
        <f t="shared" si="10"/>
        <v>9.1651513899116797</v>
      </c>
      <c r="AQ22" s="94"/>
      <c r="AR22" s="94"/>
      <c r="AS22" s="97"/>
      <c r="AT22" s="95"/>
      <c r="AU22" s="94"/>
      <c r="AV22" s="97"/>
      <c r="AW22" s="95"/>
      <c r="AX22" s="94">
        <v>6</v>
      </c>
      <c r="AY22" s="97">
        <f t="shared" si="21"/>
        <v>-6</v>
      </c>
      <c r="BQ22" s="70">
        <v>12</v>
      </c>
      <c r="BR22" s="70">
        <v>-9</v>
      </c>
      <c r="CB22" s="70">
        <v>7</v>
      </c>
      <c r="CC22" s="70">
        <f t="shared" si="1"/>
        <v>49</v>
      </c>
      <c r="CM22" s="70">
        <f t="shared" si="12"/>
        <v>16</v>
      </c>
      <c r="CN22" s="71">
        <f t="shared" si="2"/>
        <v>6.7117297887253482</v>
      </c>
      <c r="CO22">
        <v>0.2852882981208914</v>
      </c>
      <c r="CY22" s="70">
        <f t="shared" si="3"/>
        <v>4.5</v>
      </c>
      <c r="CZ22" s="71">
        <f t="shared" si="4"/>
        <v>0.98031301113363689</v>
      </c>
      <c r="DA22">
        <v>0.2852882981208914</v>
      </c>
      <c r="DK22" s="70">
        <v>-21.6</v>
      </c>
      <c r="DL22" s="71">
        <v>-12.75</v>
      </c>
      <c r="DV22" s="70">
        <v>38</v>
      </c>
      <c r="DW22" s="71">
        <v>21</v>
      </c>
    </row>
    <row r="23" spans="2:127" x14ac:dyDescent="0.25">
      <c r="B23" s="70">
        <f t="shared" si="13"/>
        <v>5</v>
      </c>
      <c r="C23" s="70">
        <f t="shared" si="0"/>
        <v>5</v>
      </c>
      <c r="E23" s="70">
        <f t="shared" si="14"/>
        <v>5</v>
      </c>
      <c r="F23" s="71">
        <f t="shared" si="5"/>
        <v>1.2117297887253482</v>
      </c>
      <c r="G23">
        <v>0.2852882981208914</v>
      </c>
      <c r="I23" s="70">
        <f t="shared" si="15"/>
        <v>5</v>
      </c>
      <c r="J23" s="71">
        <f t="shared" si="6"/>
        <v>1.8847009885052364</v>
      </c>
      <c r="K23">
        <v>0.61058762356315455</v>
      </c>
      <c r="M23" s="70">
        <f t="shared" si="16"/>
        <v>5</v>
      </c>
      <c r="N23" s="71">
        <f t="shared" si="7"/>
        <v>0.88470098850523637</v>
      </c>
      <c r="O23">
        <v>0.61058762356315455</v>
      </c>
      <c r="Q23" s="70">
        <f t="shared" si="17"/>
        <v>5</v>
      </c>
      <c r="R23" s="71">
        <f t="shared" si="8"/>
        <v>-5.0020335956260169</v>
      </c>
      <c r="S23">
        <v>0.29149720036449855</v>
      </c>
      <c r="U23" s="70">
        <f t="shared" si="18"/>
        <v>5</v>
      </c>
      <c r="V23" s="71">
        <f t="shared" si="9"/>
        <v>-1.9470618821842272</v>
      </c>
      <c r="W23">
        <v>0.61058762356315455</v>
      </c>
      <c r="AO23" s="94">
        <f t="shared" si="19"/>
        <v>5</v>
      </c>
      <c r="AP23" s="97">
        <f t="shared" si="10"/>
        <v>8.6602540378443873</v>
      </c>
      <c r="AQ23" s="94"/>
      <c r="AR23" s="94"/>
      <c r="AS23" s="97"/>
      <c r="AT23" s="95"/>
      <c r="AU23" s="94"/>
      <c r="AV23" s="97"/>
      <c r="AW23" s="95"/>
      <c r="AX23" s="94"/>
      <c r="AY23" s="97"/>
      <c r="BQ23" s="70">
        <v>5</v>
      </c>
      <c r="BR23" s="70">
        <v>23</v>
      </c>
      <c r="CB23" s="70"/>
      <c r="CC23" s="70"/>
      <c r="CM23" s="70">
        <f t="shared" si="12"/>
        <v>17</v>
      </c>
      <c r="CN23" s="71">
        <f t="shared" si="2"/>
        <v>8.9036226609878746</v>
      </c>
      <c r="CO23">
        <v>0.56727044349797917</v>
      </c>
      <c r="CY23" s="70">
        <f t="shared" si="3"/>
        <v>5.5</v>
      </c>
      <c r="CZ23" s="71">
        <f t="shared" si="4"/>
        <v>3.1722058833961633</v>
      </c>
      <c r="DA23">
        <v>0.56727044349797917</v>
      </c>
      <c r="DK23" s="70">
        <v>18.399999999999999</v>
      </c>
      <c r="DL23" s="71">
        <v>4.25</v>
      </c>
      <c r="DV23" s="70">
        <v>3</v>
      </c>
      <c r="DW23" s="71">
        <v>37</v>
      </c>
    </row>
    <row r="24" spans="2:127" x14ac:dyDescent="0.25">
      <c r="B24" s="70">
        <f t="shared" si="13"/>
        <v>6</v>
      </c>
      <c r="C24" s="70">
        <f t="shared" si="0"/>
        <v>6</v>
      </c>
      <c r="E24" s="70">
        <f t="shared" si="14"/>
        <v>6</v>
      </c>
      <c r="F24" s="71">
        <f t="shared" si="5"/>
        <v>3.4036226609878746</v>
      </c>
      <c r="G24">
        <v>0.56727044349797917</v>
      </c>
      <c r="I24" s="70">
        <f t="shared" si="15"/>
        <v>6</v>
      </c>
      <c r="J24" s="71">
        <f t="shared" si="6"/>
        <v>2.3170883449985205</v>
      </c>
      <c r="K24">
        <v>0.63963604312481503</v>
      </c>
      <c r="M24" s="70">
        <f t="shared" si="16"/>
        <v>6</v>
      </c>
      <c r="N24" s="71">
        <f t="shared" si="7"/>
        <v>1.1170883449985203</v>
      </c>
      <c r="O24">
        <v>0.63963604312481503</v>
      </c>
      <c r="Q24" s="70">
        <f t="shared" si="17"/>
        <v>6</v>
      </c>
      <c r="R24" s="71">
        <f t="shared" si="8"/>
        <v>2.5971710286782521</v>
      </c>
      <c r="S24">
        <v>0.96643091905652101</v>
      </c>
      <c r="U24" s="70">
        <f t="shared" si="18"/>
        <v>6</v>
      </c>
      <c r="V24" s="71">
        <f t="shared" si="9"/>
        <v>-2.8018197843759247</v>
      </c>
      <c r="W24">
        <v>0.63963604312481503</v>
      </c>
      <c r="AO24" s="94">
        <f t="shared" si="19"/>
        <v>6</v>
      </c>
      <c r="AP24" s="97">
        <f t="shared" si="10"/>
        <v>8</v>
      </c>
      <c r="AQ24" s="94"/>
      <c r="AR24" s="94"/>
      <c r="AS24" s="97"/>
      <c r="AT24" s="95"/>
      <c r="AU24" s="94"/>
      <c r="AV24" s="97"/>
      <c r="AW24" s="95"/>
      <c r="AX24" s="94"/>
      <c r="AY24" s="97"/>
      <c r="BQ24" s="70">
        <v>-33</v>
      </c>
      <c r="BR24" s="70">
        <v>-46</v>
      </c>
      <c r="CB24" s="70"/>
      <c r="CC24" s="70"/>
      <c r="CM24" s="70">
        <f t="shared" si="12"/>
        <v>18</v>
      </c>
      <c r="CN24" s="71">
        <f t="shared" si="2"/>
        <v>6.6034262839457227</v>
      </c>
      <c r="CO24">
        <v>0.10057104732428712</v>
      </c>
      <c r="CY24" s="70">
        <f t="shared" si="3"/>
        <v>6.5</v>
      </c>
      <c r="CZ24" s="71">
        <f t="shared" si="4"/>
        <v>0.87200950635401142</v>
      </c>
      <c r="DA24">
        <v>0.10057104732428712</v>
      </c>
      <c r="DK24" s="70">
        <v>17.399999999999999</v>
      </c>
      <c r="DL24" s="71">
        <v>2.25</v>
      </c>
      <c r="DV24" s="70">
        <v>17</v>
      </c>
      <c r="DW24" s="71">
        <v>19</v>
      </c>
    </row>
    <row r="25" spans="2:127" x14ac:dyDescent="0.25">
      <c r="B25" s="70">
        <f t="shared" si="13"/>
        <v>7</v>
      </c>
      <c r="C25" s="70">
        <f t="shared" si="0"/>
        <v>7</v>
      </c>
      <c r="E25" s="70">
        <f t="shared" si="14"/>
        <v>7</v>
      </c>
      <c r="F25" s="71">
        <f t="shared" si="5"/>
        <v>1.1034262839457227</v>
      </c>
      <c r="G25">
        <v>0.10057104732428712</v>
      </c>
      <c r="I25" s="70">
        <f t="shared" si="15"/>
        <v>7</v>
      </c>
      <c r="J25" s="71">
        <f t="shared" si="6"/>
        <v>1.8712821143944325</v>
      </c>
      <c r="K25">
        <v>0.55891026429930402</v>
      </c>
      <c r="M25" s="70">
        <f t="shared" si="16"/>
        <v>7</v>
      </c>
      <c r="N25" s="71">
        <f t="shared" si="7"/>
        <v>0.47128211439443213</v>
      </c>
      <c r="O25">
        <v>0.55891026429930402</v>
      </c>
      <c r="Q25" s="70">
        <f t="shared" si="17"/>
        <v>7</v>
      </c>
      <c r="R25" s="71">
        <f t="shared" si="8"/>
        <v>-9.0894275492662135</v>
      </c>
      <c r="S25">
        <v>3.4214370894482204E-2</v>
      </c>
      <c r="U25" s="70">
        <f t="shared" si="18"/>
        <v>7</v>
      </c>
      <c r="V25" s="71">
        <f t="shared" si="9"/>
        <v>-4.2054486785034797</v>
      </c>
      <c r="W25">
        <v>0.55891026429930402</v>
      </c>
      <c r="AO25" s="94">
        <f t="shared" si="19"/>
        <v>7</v>
      </c>
      <c r="AP25" s="97">
        <f t="shared" si="10"/>
        <v>7.1414284285428504</v>
      </c>
      <c r="AQ25" s="94"/>
      <c r="AR25" s="94"/>
      <c r="AS25" s="97"/>
      <c r="AT25" s="95"/>
      <c r="AU25" s="94"/>
      <c r="AV25" s="97"/>
      <c r="AW25" s="95"/>
      <c r="AX25" s="94"/>
      <c r="AY25" s="97"/>
      <c r="BQ25" s="70">
        <v>22</v>
      </c>
      <c r="BR25" s="70">
        <v>-25</v>
      </c>
      <c r="CB25" s="70"/>
      <c r="CC25" s="70"/>
      <c r="CM25" s="70">
        <f t="shared" si="12"/>
        <v>19</v>
      </c>
      <c r="CN25" s="71">
        <f t="shared" si="2"/>
        <v>8.0868789979344182</v>
      </c>
      <c r="CO25">
        <v>0.26447983298906963</v>
      </c>
      <c r="CY25" s="70">
        <f t="shared" si="3"/>
        <v>7.5</v>
      </c>
      <c r="CZ25" s="71">
        <f t="shared" si="4"/>
        <v>2.3554622203427069</v>
      </c>
      <c r="DA25">
        <v>0.26447983298906963</v>
      </c>
      <c r="DK25" s="70">
        <v>-9.6</v>
      </c>
      <c r="DL25" s="71">
        <v>12.25</v>
      </c>
      <c r="DV25" s="70">
        <v>36</v>
      </c>
      <c r="DW25" s="71">
        <v>50</v>
      </c>
    </row>
    <row r="26" spans="2:127" x14ac:dyDescent="0.25">
      <c r="B26" s="70">
        <f t="shared" si="13"/>
        <v>8</v>
      </c>
      <c r="C26" s="70">
        <f t="shared" si="0"/>
        <v>8</v>
      </c>
      <c r="E26" s="70">
        <f t="shared" si="14"/>
        <v>8</v>
      </c>
      <c r="F26" s="71">
        <f t="shared" si="5"/>
        <v>2.5868789979344182</v>
      </c>
      <c r="G26">
        <v>0.26447983298906963</v>
      </c>
      <c r="I26" s="70">
        <f t="shared" si="15"/>
        <v>8</v>
      </c>
      <c r="J26" s="71">
        <f t="shared" si="6"/>
        <v>-0.33009362273459386</v>
      </c>
      <c r="K26">
        <v>0.25873829715817576</v>
      </c>
      <c r="M26" s="70">
        <f t="shared" si="16"/>
        <v>8</v>
      </c>
      <c r="N26" s="71">
        <f t="shared" si="7"/>
        <v>-1.9300936227345939</v>
      </c>
      <c r="O26">
        <v>0.25873829715817576</v>
      </c>
      <c r="Q26" s="70">
        <f t="shared" si="17"/>
        <v>8</v>
      </c>
      <c r="R26" s="71">
        <f t="shared" si="8"/>
        <v>-3.817966830805382</v>
      </c>
      <c r="S26">
        <v>0.51516943076621813</v>
      </c>
      <c r="U26" s="70">
        <f t="shared" si="18"/>
        <v>8</v>
      </c>
      <c r="V26" s="71">
        <f t="shared" si="9"/>
        <v>-6.7063085142091214</v>
      </c>
      <c r="W26">
        <v>0.25873829715817576</v>
      </c>
      <c r="AO26" s="94">
        <f t="shared" si="19"/>
        <v>8</v>
      </c>
      <c r="AP26" s="97">
        <f t="shared" si="10"/>
        <v>6</v>
      </c>
      <c r="AQ26" s="94"/>
      <c r="AR26" s="94"/>
      <c r="AS26" s="97"/>
      <c r="AT26" s="95"/>
      <c r="AU26" s="94"/>
      <c r="AV26" s="97"/>
      <c r="AW26" s="95"/>
      <c r="AX26" s="94"/>
      <c r="AY26" s="97"/>
      <c r="BQ26" s="70">
        <v>13</v>
      </c>
      <c r="BR26" s="70">
        <v>16</v>
      </c>
      <c r="CB26" s="70"/>
      <c r="CC26" s="70"/>
      <c r="CM26" s="70">
        <f t="shared" si="12"/>
        <v>20</v>
      </c>
      <c r="CN26" s="71">
        <f t="shared" si="2"/>
        <v>12.168585745823043</v>
      </c>
      <c r="CO26">
        <v>0.86143095763717381</v>
      </c>
      <c r="CY26" s="70">
        <f t="shared" si="3"/>
        <v>8.5</v>
      </c>
      <c r="CZ26" s="71">
        <f t="shared" si="4"/>
        <v>6.4371689682313313</v>
      </c>
      <c r="DA26">
        <v>0.86143095763717381</v>
      </c>
      <c r="DK26" s="70">
        <v>-4.5999999999999996</v>
      </c>
      <c r="DL26" s="71">
        <v>-8.75</v>
      </c>
      <c r="DV26" s="70">
        <v>52</v>
      </c>
      <c r="DW26" s="71">
        <v>57</v>
      </c>
    </row>
    <row r="27" spans="2:127" x14ac:dyDescent="0.25">
      <c r="B27" s="70">
        <f t="shared" si="13"/>
        <v>9</v>
      </c>
      <c r="C27" s="70">
        <f t="shared" si="0"/>
        <v>9</v>
      </c>
      <c r="E27" s="70">
        <f t="shared" si="14"/>
        <v>9</v>
      </c>
      <c r="F27" s="71">
        <f t="shared" si="5"/>
        <v>6.6685857458230426</v>
      </c>
      <c r="G27">
        <v>0.86143095763717381</v>
      </c>
      <c r="I27" s="70">
        <f t="shared" si="15"/>
        <v>9</v>
      </c>
      <c r="J27" s="71">
        <f t="shared" si="6"/>
        <v>0.39947334392411804</v>
      </c>
      <c r="K27">
        <v>0.32493416799051478</v>
      </c>
      <c r="M27" s="70">
        <f t="shared" si="16"/>
        <v>9</v>
      </c>
      <c r="N27" s="71">
        <f t="shared" si="7"/>
        <v>-1.4005266560758818</v>
      </c>
      <c r="O27">
        <v>0.32493416799051478</v>
      </c>
      <c r="Q27" s="70">
        <f t="shared" si="17"/>
        <v>9</v>
      </c>
      <c r="R27" s="71">
        <f t="shared" si="8"/>
        <v>-1.4751101479426278</v>
      </c>
      <c r="S27">
        <v>0.75207415433811431</v>
      </c>
      <c r="U27" s="70">
        <f t="shared" si="18"/>
        <v>9</v>
      </c>
      <c r="V27" s="71">
        <f t="shared" si="9"/>
        <v>-7.3753291600474267</v>
      </c>
      <c r="W27">
        <v>0.32493416799051478</v>
      </c>
      <c r="AO27" s="94">
        <f t="shared" si="19"/>
        <v>9</v>
      </c>
      <c r="AP27" s="97">
        <f t="shared" si="10"/>
        <v>4.358898943540674</v>
      </c>
      <c r="AQ27" s="94"/>
      <c r="AR27" s="94"/>
      <c r="AS27" s="97"/>
      <c r="AT27" s="95"/>
      <c r="AU27" s="94"/>
      <c r="AV27" s="97"/>
      <c r="AW27" s="95"/>
      <c r="AX27" s="94"/>
      <c r="AY27" s="97"/>
      <c r="BQ27" s="70">
        <v>-21</v>
      </c>
      <c r="BR27" s="70">
        <v>15</v>
      </c>
      <c r="CB27" s="70"/>
      <c r="CC27" s="70"/>
      <c r="CM27" s="70">
        <f t="shared" si="12"/>
        <v>21</v>
      </c>
      <c r="CN27" s="71">
        <f t="shared" si="2"/>
        <v>9.1883283282290353</v>
      </c>
      <c r="CO27">
        <v>0.28138805470483919</v>
      </c>
      <c r="CY27" s="70">
        <f t="shared" si="3"/>
        <v>9.5</v>
      </c>
      <c r="CZ27" s="71">
        <f t="shared" si="4"/>
        <v>3.456911550637324</v>
      </c>
      <c r="DA27">
        <v>0.28138805470483919</v>
      </c>
      <c r="DK27" s="70">
        <v>-0.60000000000000009</v>
      </c>
      <c r="DL27" s="71">
        <v>15.25</v>
      </c>
      <c r="DV27" s="70">
        <v>9</v>
      </c>
      <c r="DW27" s="71">
        <v>39</v>
      </c>
    </row>
    <row r="28" spans="2:127" x14ac:dyDescent="0.25">
      <c r="B28" s="70">
        <f t="shared" si="13"/>
        <v>10</v>
      </c>
      <c r="C28" s="70">
        <f t="shared" si="0"/>
        <v>10</v>
      </c>
      <c r="E28" s="70">
        <f t="shared" si="14"/>
        <v>10</v>
      </c>
      <c r="F28" s="71">
        <f t="shared" si="5"/>
        <v>3.6883283282290353</v>
      </c>
      <c r="G28">
        <v>0.28138805470483919</v>
      </c>
      <c r="I28" s="70">
        <f t="shared" si="15"/>
        <v>10</v>
      </c>
      <c r="J28" s="71">
        <f t="shared" si="6"/>
        <v>0.12944307901965857</v>
      </c>
      <c r="K28">
        <v>0.26618038487745732</v>
      </c>
      <c r="M28" s="70">
        <f t="shared" si="16"/>
        <v>10</v>
      </c>
      <c r="N28" s="71">
        <f t="shared" si="7"/>
        <v>-1.8705569209803414</v>
      </c>
      <c r="O28">
        <v>0.26618038487745732</v>
      </c>
      <c r="Q28" s="70">
        <f t="shared" si="17"/>
        <v>10</v>
      </c>
      <c r="R28" s="71">
        <f t="shared" si="8"/>
        <v>-7.0976892641696097</v>
      </c>
      <c r="S28">
        <v>0.32519256131919916</v>
      </c>
      <c r="U28" s="70">
        <f t="shared" si="18"/>
        <v>10</v>
      </c>
      <c r="V28" s="71">
        <f t="shared" si="9"/>
        <v>-8.6690980756127125</v>
      </c>
      <c r="W28">
        <v>0.26618038487745732</v>
      </c>
      <c r="AO28" s="94">
        <f t="shared" si="19"/>
        <v>10</v>
      </c>
      <c r="AP28" s="97">
        <f t="shared" si="10"/>
        <v>0</v>
      </c>
      <c r="AQ28" s="94"/>
      <c r="AR28" s="94"/>
      <c r="AS28" s="97"/>
      <c r="AT28" s="95"/>
      <c r="AU28" s="94"/>
      <c r="AV28" s="97"/>
      <c r="AW28" s="95"/>
      <c r="AX28" s="94"/>
      <c r="AY28" s="97"/>
      <c r="BQ28" s="70">
        <v>21</v>
      </c>
      <c r="BR28" s="70">
        <v>31</v>
      </c>
      <c r="CB28" s="70"/>
      <c r="CC28" s="70"/>
      <c r="DV28" s="89">
        <v>19</v>
      </c>
      <c r="DW28" s="89">
        <v>80</v>
      </c>
    </row>
    <row r="29" spans="2:127" x14ac:dyDescent="0.25">
      <c r="B29" s="70">
        <v>-10</v>
      </c>
      <c r="C29" s="70">
        <f t="shared" si="0"/>
        <v>-10</v>
      </c>
      <c r="E29" s="70"/>
      <c r="F29" s="71"/>
      <c r="I29" s="70"/>
      <c r="J29" s="71"/>
      <c r="K29">
        <v>0.14328043425671089</v>
      </c>
      <c r="M29" s="70"/>
      <c r="N29" s="71"/>
      <c r="O29">
        <v>0.14328043425671089</v>
      </c>
      <c r="Q29" s="70"/>
      <c r="R29" s="71"/>
      <c r="U29" s="70"/>
      <c r="V29" s="71"/>
      <c r="W29">
        <v>0.14328043425671089</v>
      </c>
      <c r="AO29" s="94">
        <v>-10</v>
      </c>
      <c r="AP29" s="94">
        <f>-SQRT(10^2-AO29^2)</f>
        <v>0</v>
      </c>
      <c r="AQ29" s="94"/>
      <c r="AR29" s="94"/>
      <c r="AS29" s="94"/>
      <c r="AT29" s="95"/>
      <c r="AU29" s="94"/>
      <c r="AV29" s="94"/>
      <c r="AW29" s="95"/>
      <c r="AX29" s="94"/>
      <c r="AY29" s="94"/>
      <c r="BQ29" s="70">
        <v>-45</v>
      </c>
      <c r="BR29" s="70">
        <v>-7</v>
      </c>
      <c r="CB29" s="70"/>
      <c r="CC29" s="70"/>
      <c r="DV29" s="89">
        <v>87</v>
      </c>
      <c r="DW29" s="89">
        <v>29</v>
      </c>
    </row>
    <row r="30" spans="2:127" x14ac:dyDescent="0.25">
      <c r="B30" s="70">
        <f>B29+1</f>
        <v>-9</v>
      </c>
      <c r="C30" s="70">
        <f t="shared" si="0"/>
        <v>-9</v>
      </c>
      <c r="E30" s="70">
        <f>E29+1</f>
        <v>1</v>
      </c>
      <c r="F30" s="71">
        <f>0.5*E30+6*G30-3</f>
        <v>2.3512896207693545</v>
      </c>
      <c r="G30">
        <v>0.80854827012822572</v>
      </c>
      <c r="I30" s="70">
        <f>I29+1</f>
        <v>1</v>
      </c>
      <c r="J30" s="71">
        <f>0.2*I30+8*K30-4</f>
        <v>-3.4071279079931243</v>
      </c>
      <c r="K30">
        <v>4.9109011500859445E-2</v>
      </c>
      <c r="M30" s="70">
        <f>M29+1</f>
        <v>1</v>
      </c>
      <c r="N30" s="71">
        <f>8*O30-4</f>
        <v>-3.6071279079931244</v>
      </c>
      <c r="O30">
        <v>4.9109011500859445E-2</v>
      </c>
      <c r="Q30" s="70">
        <f>Q29+1</f>
        <v>1</v>
      </c>
      <c r="R30" s="71">
        <f>-Q30*0.5+S30*12-6</f>
        <v>5.0549306931635805</v>
      </c>
      <c r="S30">
        <v>0.96291089109696504</v>
      </c>
      <c r="U30" s="70">
        <f>U29+1</f>
        <v>1</v>
      </c>
      <c r="V30" s="71">
        <f>-U30+W30*5</f>
        <v>-0.75445494249570277</v>
      </c>
      <c r="W30">
        <v>4.9109011500859445E-2</v>
      </c>
      <c r="AO30" s="94">
        <f>AO29+1</f>
        <v>-9</v>
      </c>
      <c r="AP30" s="97">
        <f>-SQRT(10^2-AO30^2)</f>
        <v>-4.358898943540674</v>
      </c>
      <c r="AQ30" s="94"/>
      <c r="AR30" s="94">
        <v>-9</v>
      </c>
      <c r="AS30" s="97">
        <f>-SQRT(10^2-AR30^2)</f>
        <v>-4.358898943540674</v>
      </c>
      <c r="AT30" s="95"/>
      <c r="AU30" s="94"/>
      <c r="AV30" s="97"/>
      <c r="AW30" s="95"/>
      <c r="AX30" s="94"/>
      <c r="AY30" s="97"/>
      <c r="BQ30" s="70">
        <v>16</v>
      </c>
      <c r="BR30" s="70">
        <v>-28</v>
      </c>
      <c r="CB30" s="70"/>
      <c r="CC30" s="70"/>
      <c r="DV30" s="89">
        <v>94</v>
      </c>
      <c r="DW30" s="89">
        <v>37</v>
      </c>
    </row>
    <row r="31" spans="2:127" x14ac:dyDescent="0.25">
      <c r="B31" s="70">
        <f t="shared" ref="B31:B49" si="22">B30+1</f>
        <v>-8</v>
      </c>
      <c r="C31" s="70">
        <f t="shared" si="0"/>
        <v>-8</v>
      </c>
      <c r="E31" s="70">
        <f t="shared" ref="E31:E49" si="23">E30+1</f>
        <v>2</v>
      </c>
      <c r="F31" s="71">
        <f t="shared" ref="F31:F49" si="24">0.5*E31+6*G31-3</f>
        <v>3.1844323392352472</v>
      </c>
      <c r="G31">
        <v>0.86407205653920793</v>
      </c>
      <c r="I31" s="70">
        <f t="shared" ref="I31:I49" si="25">I30+1</f>
        <v>2</v>
      </c>
      <c r="J31" s="71">
        <f t="shared" ref="J31:J49" si="26">0.2*I31+8*K31-4</f>
        <v>-1.9522603319246108</v>
      </c>
      <c r="K31">
        <v>0.20596745850942366</v>
      </c>
      <c r="M31" s="70">
        <f t="shared" ref="M31:M49" si="27">M30+1</f>
        <v>2</v>
      </c>
      <c r="N31" s="71">
        <f t="shared" ref="N31:N49" si="28">8*O31-4</f>
        <v>-2.3522603319246107</v>
      </c>
      <c r="O31">
        <v>0.20596745850942366</v>
      </c>
      <c r="Q31" s="70">
        <f t="shared" ref="Q31:Q49" si="29">Q30+1</f>
        <v>2</v>
      </c>
      <c r="R31" s="71">
        <f t="shared" ref="R31:R49" si="30">-Q31*0.5+S31*12-6</f>
        <v>2.6829887338640646</v>
      </c>
      <c r="S31">
        <v>0.80691572782200538</v>
      </c>
      <c r="U31" s="70">
        <f t="shared" ref="U31:U49" si="31">U30+1</f>
        <v>2</v>
      </c>
      <c r="V31" s="71">
        <f t="shared" ref="V31:V49" si="32">-U31+W31*5</f>
        <v>-0.9701627074528818</v>
      </c>
      <c r="W31">
        <v>0.20596745850942366</v>
      </c>
      <c r="AO31" s="94">
        <f t="shared" ref="AO31:AO44" si="33">AO30+1</f>
        <v>-8</v>
      </c>
      <c r="AP31" s="97">
        <f t="shared" ref="AP31:AP49" si="34">-SQRT(10^2-AO31^2)</f>
        <v>-6</v>
      </c>
      <c r="AQ31" s="94"/>
      <c r="AR31" s="94">
        <f t="shared" ref="AR31:AR48" si="35">AR30+1</f>
        <v>-8</v>
      </c>
      <c r="AS31" s="97">
        <f t="shared" ref="AS31:AS48" si="36">-SQRT(10^2-AR31^2)</f>
        <v>-6</v>
      </c>
      <c r="AT31" s="95"/>
      <c r="AU31" s="94"/>
      <c r="AV31" s="97"/>
      <c r="AW31" s="95"/>
      <c r="AX31" s="94"/>
      <c r="AY31" s="97"/>
      <c r="BQ31" s="70">
        <v>-43</v>
      </c>
      <c r="BR31" s="70">
        <v>36</v>
      </c>
      <c r="CB31" s="70"/>
      <c r="CC31" s="70"/>
      <c r="DV31" s="89">
        <v>100</v>
      </c>
      <c r="DW31" s="89">
        <v>71</v>
      </c>
    </row>
    <row r="32" spans="2:127" x14ac:dyDescent="0.25">
      <c r="B32" s="70">
        <f t="shared" si="22"/>
        <v>-7</v>
      </c>
      <c r="C32" s="70">
        <f t="shared" si="0"/>
        <v>-7</v>
      </c>
      <c r="E32" s="70">
        <f t="shared" si="23"/>
        <v>3</v>
      </c>
      <c r="F32" s="71">
        <f t="shared" si="24"/>
        <v>4.1766710939595333</v>
      </c>
      <c r="G32">
        <v>0.94611184899325551</v>
      </c>
      <c r="I32" s="70">
        <f t="shared" si="25"/>
        <v>3</v>
      </c>
      <c r="J32" s="71">
        <f t="shared" si="26"/>
        <v>2.6502247110978239</v>
      </c>
      <c r="K32">
        <v>0.75627808888722792</v>
      </c>
      <c r="M32" s="70">
        <f t="shared" si="27"/>
        <v>3</v>
      </c>
      <c r="N32" s="71">
        <f t="shared" si="28"/>
        <v>2.0502247110978233</v>
      </c>
      <c r="O32">
        <v>0.75627808888722792</v>
      </c>
      <c r="Q32" s="70">
        <f t="shared" si="29"/>
        <v>3</v>
      </c>
      <c r="R32" s="71">
        <f t="shared" si="30"/>
        <v>4.0066748313313028</v>
      </c>
      <c r="S32">
        <v>0.9588895692776086</v>
      </c>
      <c r="U32" s="70">
        <f t="shared" si="31"/>
        <v>3</v>
      </c>
      <c r="V32" s="71">
        <f t="shared" si="32"/>
        <v>0.78139044443613948</v>
      </c>
      <c r="W32">
        <v>0.75627808888722792</v>
      </c>
      <c r="AO32" s="94">
        <f t="shared" si="33"/>
        <v>-7</v>
      </c>
      <c r="AP32" s="97">
        <f t="shared" si="34"/>
        <v>-7.1414284285428504</v>
      </c>
      <c r="AQ32" s="94"/>
      <c r="AR32" s="94">
        <f t="shared" si="35"/>
        <v>-7</v>
      </c>
      <c r="AS32" s="97">
        <f t="shared" si="36"/>
        <v>-7.1414284285428504</v>
      </c>
      <c r="AT32" s="95"/>
      <c r="AU32" s="94"/>
      <c r="AV32" s="97"/>
      <c r="AW32" s="95"/>
      <c r="AX32" s="94"/>
      <c r="AY32" s="97"/>
      <c r="BQ32" s="70">
        <v>19</v>
      </c>
      <c r="BR32" s="70">
        <v>-13</v>
      </c>
      <c r="CB32" s="70"/>
      <c r="CC32" s="70"/>
      <c r="DV32" s="89">
        <v>56</v>
      </c>
      <c r="DW32" s="89">
        <v>77</v>
      </c>
    </row>
    <row r="33" spans="2:127" x14ac:dyDescent="0.25">
      <c r="B33" s="70">
        <f t="shared" si="22"/>
        <v>-6</v>
      </c>
      <c r="C33" s="70">
        <f t="shared" si="0"/>
        <v>-6</v>
      </c>
      <c r="E33" s="70">
        <f t="shared" si="23"/>
        <v>4</v>
      </c>
      <c r="F33" s="71">
        <f t="shared" si="24"/>
        <v>0.77818112006064233</v>
      </c>
      <c r="G33">
        <v>0.29636352001010702</v>
      </c>
      <c r="I33" s="70">
        <f t="shared" si="25"/>
        <v>4</v>
      </c>
      <c r="J33" s="71">
        <f t="shared" si="26"/>
        <v>4.4923560023656552</v>
      </c>
      <c r="K33">
        <v>0.96154450029570693</v>
      </c>
      <c r="M33" s="70">
        <f t="shared" si="27"/>
        <v>4</v>
      </c>
      <c r="N33" s="71">
        <f t="shared" si="28"/>
        <v>3.6923560023656554</v>
      </c>
      <c r="O33">
        <v>0.96154450029570693</v>
      </c>
      <c r="Q33" s="70">
        <f t="shared" si="29"/>
        <v>4</v>
      </c>
      <c r="R33" s="71">
        <f t="shared" si="30"/>
        <v>-4.2978218273338662</v>
      </c>
      <c r="S33">
        <v>0.30851484772217785</v>
      </c>
      <c r="U33" s="70">
        <f t="shared" si="31"/>
        <v>4</v>
      </c>
      <c r="V33" s="71">
        <f t="shared" si="32"/>
        <v>0.8077225014785343</v>
      </c>
      <c r="W33">
        <v>0.96154450029570693</v>
      </c>
      <c r="AO33" s="94">
        <f t="shared" si="33"/>
        <v>-6</v>
      </c>
      <c r="AP33" s="97">
        <f t="shared" si="34"/>
        <v>-8</v>
      </c>
      <c r="AQ33" s="94"/>
      <c r="AR33" s="94">
        <f t="shared" si="35"/>
        <v>-6</v>
      </c>
      <c r="AS33" s="97">
        <f t="shared" si="36"/>
        <v>-8</v>
      </c>
      <c r="AT33" s="95"/>
      <c r="AU33" s="94"/>
      <c r="AV33" s="97"/>
      <c r="AW33" s="95"/>
      <c r="AX33" s="94"/>
      <c r="AY33" s="97"/>
      <c r="BQ33" s="70">
        <v>34</v>
      </c>
      <c r="BR33" s="70">
        <v>-33</v>
      </c>
      <c r="CB33" s="70"/>
      <c r="CC33" s="70"/>
      <c r="DV33" s="89">
        <v>95</v>
      </c>
      <c r="DW33" s="89">
        <v>70</v>
      </c>
    </row>
    <row r="34" spans="2:127" x14ac:dyDescent="0.25">
      <c r="B34" s="70">
        <f t="shared" si="22"/>
        <v>-5</v>
      </c>
      <c r="C34" s="70">
        <f t="shared" si="0"/>
        <v>-5</v>
      </c>
      <c r="E34" s="70">
        <f t="shared" si="23"/>
        <v>5</v>
      </c>
      <c r="F34" s="71">
        <f t="shared" si="24"/>
        <v>1.1906216028142254</v>
      </c>
      <c r="G34">
        <v>0.2817702671357043</v>
      </c>
      <c r="I34" s="70">
        <f t="shared" si="25"/>
        <v>5</v>
      </c>
      <c r="J34" s="71">
        <f t="shared" si="26"/>
        <v>1.8646468059031047</v>
      </c>
      <c r="K34">
        <v>0.60808085073788809</v>
      </c>
      <c r="M34" s="70">
        <f t="shared" si="27"/>
        <v>5</v>
      </c>
      <c r="N34" s="71">
        <f t="shared" si="28"/>
        <v>0.86464680590310472</v>
      </c>
      <c r="O34">
        <v>0.60808085073788809</v>
      </c>
      <c r="Q34" s="70">
        <f t="shared" si="29"/>
        <v>5</v>
      </c>
      <c r="R34" s="71">
        <f t="shared" si="30"/>
        <v>-1.7490818947112858</v>
      </c>
      <c r="S34">
        <v>0.56257650877405951</v>
      </c>
      <c r="U34" s="70">
        <f t="shared" si="31"/>
        <v>5</v>
      </c>
      <c r="V34" s="71">
        <f t="shared" si="32"/>
        <v>-1.9595957463105593</v>
      </c>
      <c r="W34">
        <v>0.60808085073788809</v>
      </c>
      <c r="AO34" s="94">
        <f t="shared" si="33"/>
        <v>-5</v>
      </c>
      <c r="AP34" s="97">
        <f t="shared" si="34"/>
        <v>-8.6602540378443873</v>
      </c>
      <c r="AQ34" s="94"/>
      <c r="AR34" s="94">
        <f t="shared" si="35"/>
        <v>-5</v>
      </c>
      <c r="AS34" s="97">
        <f t="shared" si="36"/>
        <v>-8.6602540378443873</v>
      </c>
      <c r="AT34" s="95"/>
      <c r="AU34" s="94"/>
      <c r="AV34" s="97"/>
      <c r="AW34" s="95"/>
      <c r="AX34" s="94"/>
      <c r="AY34" s="97"/>
      <c r="BQ34" s="70">
        <v>32</v>
      </c>
      <c r="BR34" s="70">
        <v>13</v>
      </c>
      <c r="CB34" s="70"/>
      <c r="CC34" s="70"/>
      <c r="DV34" s="89">
        <v>90</v>
      </c>
      <c r="DW34" s="89">
        <v>87</v>
      </c>
    </row>
    <row r="35" spans="2:127" x14ac:dyDescent="0.25">
      <c r="B35" s="70">
        <f t="shared" si="22"/>
        <v>-4</v>
      </c>
      <c r="C35" s="70">
        <f t="shared" si="0"/>
        <v>-4</v>
      </c>
      <c r="E35" s="70">
        <f t="shared" si="23"/>
        <v>6</v>
      </c>
      <c r="F35" s="71">
        <f t="shared" si="24"/>
        <v>2.443625850356125</v>
      </c>
      <c r="G35">
        <v>0.40727097505935417</v>
      </c>
      <c r="I35" s="70">
        <f t="shared" si="25"/>
        <v>6</v>
      </c>
      <c r="J35" s="71">
        <f t="shared" si="26"/>
        <v>0.77094241003930541</v>
      </c>
      <c r="K35">
        <v>0.44636780125491315</v>
      </c>
      <c r="M35" s="70">
        <f t="shared" si="27"/>
        <v>6</v>
      </c>
      <c r="N35" s="71">
        <f t="shared" si="28"/>
        <v>-0.42905758996069476</v>
      </c>
      <c r="O35">
        <v>0.44636780125491315</v>
      </c>
      <c r="Q35" s="70">
        <f t="shared" si="29"/>
        <v>6</v>
      </c>
      <c r="R35" s="71">
        <f t="shared" si="30"/>
        <v>2.4308274896896549</v>
      </c>
      <c r="S35">
        <v>0.95256895747413795</v>
      </c>
      <c r="U35" s="70">
        <f t="shared" si="31"/>
        <v>6</v>
      </c>
      <c r="V35" s="71">
        <f t="shared" si="32"/>
        <v>-3.7681609937254343</v>
      </c>
      <c r="W35">
        <v>0.44636780125491315</v>
      </c>
      <c r="AO35" s="94">
        <f t="shared" si="33"/>
        <v>-4</v>
      </c>
      <c r="AP35" s="97">
        <f t="shared" si="34"/>
        <v>-9.1651513899116797</v>
      </c>
      <c r="AQ35" s="94"/>
      <c r="AR35" s="94">
        <f t="shared" si="35"/>
        <v>-4</v>
      </c>
      <c r="AS35" s="97">
        <f t="shared" si="36"/>
        <v>-9.1651513899116797</v>
      </c>
      <c r="AT35" s="95"/>
      <c r="AU35" s="94"/>
      <c r="AV35" s="97"/>
      <c r="AW35" s="95"/>
      <c r="AX35" s="94"/>
      <c r="AY35" s="97"/>
      <c r="BQ35" s="70">
        <v>23</v>
      </c>
      <c r="BR35" s="70">
        <v>23</v>
      </c>
      <c r="CB35" s="70"/>
      <c r="CC35" s="70"/>
      <c r="DV35" s="89">
        <v>2</v>
      </c>
      <c r="DW35" s="89">
        <v>70</v>
      </c>
    </row>
    <row r="36" spans="2:127" x14ac:dyDescent="0.25">
      <c r="B36" s="70">
        <f t="shared" si="22"/>
        <v>-3</v>
      </c>
      <c r="C36" s="70">
        <f t="shared" si="0"/>
        <v>-3</v>
      </c>
      <c r="E36" s="70">
        <f t="shared" si="23"/>
        <v>7</v>
      </c>
      <c r="F36" s="71">
        <f t="shared" si="24"/>
        <v>2.0023295864387052</v>
      </c>
      <c r="G36">
        <v>0.2503882644064509</v>
      </c>
      <c r="I36" s="70">
        <f t="shared" si="25"/>
        <v>7</v>
      </c>
      <c r="J36" s="71">
        <f t="shared" si="26"/>
        <v>1.3901536590510224</v>
      </c>
      <c r="K36">
        <v>0.49876920738137775</v>
      </c>
      <c r="M36" s="70">
        <f t="shared" si="27"/>
        <v>7</v>
      </c>
      <c r="N36" s="71">
        <f t="shared" si="28"/>
        <v>-9.8463409489779607E-3</v>
      </c>
      <c r="O36">
        <v>0.49876920738137775</v>
      </c>
      <c r="Q36" s="70">
        <f t="shared" si="29"/>
        <v>7</v>
      </c>
      <c r="R36" s="71">
        <f t="shared" si="30"/>
        <v>-9.4718513454461082</v>
      </c>
      <c r="S36">
        <v>2.345721212824281E-3</v>
      </c>
      <c r="U36" s="70">
        <f t="shared" si="31"/>
        <v>7</v>
      </c>
      <c r="V36" s="71">
        <f t="shared" si="32"/>
        <v>-4.5061539630931113</v>
      </c>
      <c r="W36">
        <v>0.49876920738137775</v>
      </c>
      <c r="AO36" s="94">
        <f t="shared" si="33"/>
        <v>-3</v>
      </c>
      <c r="AP36" s="97">
        <f t="shared" si="34"/>
        <v>-9.5393920141694561</v>
      </c>
      <c r="AQ36" s="94"/>
      <c r="AR36" s="94">
        <f t="shared" si="35"/>
        <v>-3</v>
      </c>
      <c r="AS36" s="97">
        <f t="shared" si="36"/>
        <v>-9.5393920141694561</v>
      </c>
      <c r="AT36" s="95"/>
      <c r="AU36" s="94"/>
      <c r="AV36" s="97"/>
      <c r="AW36" s="95"/>
      <c r="AX36" s="94"/>
      <c r="AY36" s="97"/>
      <c r="BQ36" s="70">
        <v>8</v>
      </c>
      <c r="BR36" s="70">
        <v>-15</v>
      </c>
      <c r="CB36" s="70"/>
      <c r="CC36" s="70"/>
      <c r="DV36" s="89">
        <v>73</v>
      </c>
      <c r="DW36" s="89">
        <v>42</v>
      </c>
    </row>
    <row r="37" spans="2:127" x14ac:dyDescent="0.25">
      <c r="B37" s="70">
        <f t="shared" si="22"/>
        <v>-2</v>
      </c>
      <c r="C37" s="70">
        <f t="shared" si="0"/>
        <v>-2</v>
      </c>
      <c r="E37" s="70">
        <f t="shared" si="23"/>
        <v>8</v>
      </c>
      <c r="F37" s="71">
        <f t="shared" si="24"/>
        <v>5.2689265645790471</v>
      </c>
      <c r="G37">
        <v>0.71148776076317444</v>
      </c>
      <c r="I37" s="70">
        <f t="shared" si="25"/>
        <v>8</v>
      </c>
      <c r="J37" s="71">
        <f t="shared" si="26"/>
        <v>5.4000002751301039</v>
      </c>
      <c r="K37">
        <v>0.97500003439126293</v>
      </c>
      <c r="M37" s="70">
        <f t="shared" si="27"/>
        <v>8</v>
      </c>
      <c r="N37" s="71">
        <f t="shared" si="28"/>
        <v>3.8000002751301034</v>
      </c>
      <c r="O37">
        <v>0.97500003439126293</v>
      </c>
      <c r="Q37" s="70">
        <f t="shared" si="29"/>
        <v>8</v>
      </c>
      <c r="R37" s="71">
        <f t="shared" si="30"/>
        <v>-9.7300896292631265</v>
      </c>
      <c r="S37">
        <v>2.249253089473946E-2</v>
      </c>
      <c r="U37" s="70">
        <f t="shared" si="31"/>
        <v>8</v>
      </c>
      <c r="V37" s="71">
        <f t="shared" si="32"/>
        <v>-3.124999828043685</v>
      </c>
      <c r="W37">
        <v>0.97500003439126293</v>
      </c>
      <c r="AO37" s="94">
        <f t="shared" si="33"/>
        <v>-2</v>
      </c>
      <c r="AP37" s="97">
        <f t="shared" si="34"/>
        <v>-9.7979589711327115</v>
      </c>
      <c r="AQ37" s="94"/>
      <c r="AR37" s="94">
        <f t="shared" si="35"/>
        <v>-2</v>
      </c>
      <c r="AS37" s="97">
        <f t="shared" si="36"/>
        <v>-9.7979589711327115</v>
      </c>
      <c r="AT37" s="95"/>
      <c r="AU37" s="94"/>
      <c r="AV37" s="97"/>
      <c r="AW37" s="95"/>
      <c r="AX37" s="94"/>
      <c r="AY37" s="97"/>
      <c r="BQ37" s="70">
        <v>21</v>
      </c>
      <c r="BR37" s="70">
        <v>14</v>
      </c>
      <c r="CB37" s="70"/>
      <c r="CC37" s="70"/>
      <c r="DV37" s="89">
        <v>83</v>
      </c>
      <c r="DW37" s="89">
        <v>57</v>
      </c>
    </row>
    <row r="38" spans="2:127" x14ac:dyDescent="0.25">
      <c r="B38" s="70">
        <f t="shared" si="22"/>
        <v>-1</v>
      </c>
      <c r="C38" s="70">
        <f t="shared" si="0"/>
        <v>-1</v>
      </c>
      <c r="E38" s="70">
        <f t="shared" si="23"/>
        <v>9</v>
      </c>
      <c r="F38" s="71">
        <f t="shared" si="24"/>
        <v>7.0988387050493635</v>
      </c>
      <c r="G38">
        <v>0.93313978417489374</v>
      </c>
      <c r="I38" s="70">
        <f t="shared" si="25"/>
        <v>9</v>
      </c>
      <c r="J38" s="71">
        <f t="shared" si="26"/>
        <v>0.27424694491949353</v>
      </c>
      <c r="K38">
        <v>0.30928086811493671</v>
      </c>
      <c r="M38" s="70">
        <f t="shared" si="27"/>
        <v>9</v>
      </c>
      <c r="N38" s="71">
        <f t="shared" si="28"/>
        <v>-1.5257530550805063</v>
      </c>
      <c r="O38">
        <v>0.30928086811493671</v>
      </c>
      <c r="Q38" s="70">
        <f t="shared" si="29"/>
        <v>9</v>
      </c>
      <c r="R38" s="71">
        <f t="shared" si="30"/>
        <v>-3.2322551801819603</v>
      </c>
      <c r="S38">
        <v>0.60564540165150327</v>
      </c>
      <c r="U38" s="70">
        <f t="shared" si="31"/>
        <v>9</v>
      </c>
      <c r="V38" s="71">
        <f t="shared" si="32"/>
        <v>-7.4535956594253161</v>
      </c>
      <c r="W38">
        <v>0.30928086811493671</v>
      </c>
      <c r="AO38" s="94">
        <f t="shared" si="33"/>
        <v>-1</v>
      </c>
      <c r="AP38" s="97">
        <f t="shared" si="34"/>
        <v>-9.9498743710661994</v>
      </c>
      <c r="AQ38" s="94"/>
      <c r="AR38" s="94">
        <f t="shared" si="35"/>
        <v>-1</v>
      </c>
      <c r="AS38" s="97">
        <f t="shared" si="36"/>
        <v>-9.9498743710661994</v>
      </c>
      <c r="AT38" s="95"/>
      <c r="AU38" s="94"/>
      <c r="AV38" s="97"/>
      <c r="AW38" s="95"/>
      <c r="AX38" s="94"/>
      <c r="AY38" s="97"/>
      <c r="BQ38" s="70">
        <v>-21</v>
      </c>
      <c r="BR38" s="70">
        <v>-42</v>
      </c>
      <c r="CB38" s="70"/>
      <c r="CC38" s="70"/>
      <c r="DV38" s="89">
        <v>56</v>
      </c>
      <c r="DW38" s="89">
        <v>45</v>
      </c>
    </row>
    <row r="39" spans="2:127" x14ac:dyDescent="0.25">
      <c r="B39" s="70">
        <f t="shared" si="22"/>
        <v>0</v>
      </c>
      <c r="C39" s="70">
        <f t="shared" si="0"/>
        <v>0</v>
      </c>
      <c r="E39" s="70">
        <f t="shared" si="23"/>
        <v>10</v>
      </c>
      <c r="F39" s="71">
        <f t="shared" si="24"/>
        <v>3.3222054952961582</v>
      </c>
      <c r="G39">
        <v>0.22036758254935962</v>
      </c>
      <c r="I39" s="70">
        <f t="shared" si="25"/>
        <v>10</v>
      </c>
      <c r="J39" s="71">
        <f t="shared" si="26"/>
        <v>3.1001874407621806</v>
      </c>
      <c r="K39">
        <v>0.63752343009527257</v>
      </c>
      <c r="M39" s="70">
        <f t="shared" si="27"/>
        <v>10</v>
      </c>
      <c r="N39" s="71">
        <f t="shared" si="28"/>
        <v>1.1001874407621806</v>
      </c>
      <c r="O39">
        <v>0.63752343009527257</v>
      </c>
      <c r="Q39" s="70">
        <f t="shared" si="29"/>
        <v>10</v>
      </c>
      <c r="R39" s="71">
        <f t="shared" si="30"/>
        <v>-10.299461262714523</v>
      </c>
      <c r="S39">
        <v>5.837822810712312E-2</v>
      </c>
      <c r="U39" s="70">
        <f t="shared" si="31"/>
        <v>10</v>
      </c>
      <c r="V39" s="71">
        <f t="shared" si="32"/>
        <v>-6.8123828495236367</v>
      </c>
      <c r="W39">
        <v>0.63752343009527257</v>
      </c>
      <c r="AO39" s="94">
        <f t="shared" si="33"/>
        <v>0</v>
      </c>
      <c r="AP39" s="97">
        <f t="shared" si="34"/>
        <v>-10</v>
      </c>
      <c r="AQ39" s="94"/>
      <c r="AR39" s="94">
        <f t="shared" si="35"/>
        <v>0</v>
      </c>
      <c r="AS39" s="97">
        <f t="shared" si="36"/>
        <v>-10</v>
      </c>
      <c r="AT39" s="95"/>
      <c r="AU39" s="94"/>
      <c r="AV39" s="97"/>
      <c r="AW39" s="95"/>
      <c r="AX39" s="94"/>
      <c r="AY39" s="97"/>
      <c r="BQ39" s="70">
        <v>-11</v>
      </c>
      <c r="BR39" s="70">
        <v>32</v>
      </c>
      <c r="CB39" s="70"/>
      <c r="CC39" s="70"/>
      <c r="DV39" s="89">
        <v>58</v>
      </c>
      <c r="DW39" s="89">
        <v>58</v>
      </c>
    </row>
    <row r="40" spans="2:127" x14ac:dyDescent="0.25">
      <c r="B40" s="70">
        <f t="shared" si="22"/>
        <v>1</v>
      </c>
      <c r="C40" s="70">
        <f t="shared" si="0"/>
        <v>1</v>
      </c>
      <c r="E40" s="70">
        <f t="shared" si="23"/>
        <v>11</v>
      </c>
      <c r="F40" s="71">
        <f t="shared" si="24"/>
        <v>4.0197968073224501</v>
      </c>
      <c r="G40">
        <v>0.25329946788707502</v>
      </c>
      <c r="I40" s="70">
        <f t="shared" si="25"/>
        <v>11</v>
      </c>
      <c r="J40" s="71">
        <f t="shared" si="26"/>
        <v>1.4922393737744555</v>
      </c>
      <c r="K40">
        <v>0.41152992172180691</v>
      </c>
      <c r="M40" s="70">
        <f t="shared" si="27"/>
        <v>11</v>
      </c>
      <c r="N40" s="71">
        <f t="shared" si="28"/>
        <v>-0.7077606262255447</v>
      </c>
      <c r="O40">
        <v>0.41152992172180691</v>
      </c>
      <c r="Q40" s="70">
        <f t="shared" si="29"/>
        <v>11</v>
      </c>
      <c r="R40" s="71">
        <f t="shared" si="30"/>
        <v>-2.8382847430056408</v>
      </c>
      <c r="S40">
        <v>0.72180960474952993</v>
      </c>
      <c r="U40" s="70">
        <f t="shared" si="31"/>
        <v>11</v>
      </c>
      <c r="V40" s="71">
        <f t="shared" si="32"/>
        <v>-8.9423503913909652</v>
      </c>
      <c r="W40">
        <v>0.41152992172180691</v>
      </c>
      <c r="AO40" s="94">
        <f t="shared" si="33"/>
        <v>1</v>
      </c>
      <c r="AP40" s="97">
        <f t="shared" si="34"/>
        <v>-9.9498743710661994</v>
      </c>
      <c r="AQ40" s="94"/>
      <c r="AR40" s="94">
        <f t="shared" si="35"/>
        <v>1</v>
      </c>
      <c r="AS40" s="97">
        <f t="shared" si="36"/>
        <v>-9.9498743710661994</v>
      </c>
      <c r="AT40" s="95"/>
      <c r="AU40" s="94"/>
      <c r="AV40" s="97"/>
      <c r="AW40" s="95"/>
      <c r="AX40" s="94"/>
      <c r="AY40" s="97"/>
      <c r="BQ40" s="70">
        <v>32</v>
      </c>
      <c r="BR40" s="70">
        <v>-12</v>
      </c>
      <c r="CB40" s="70"/>
      <c r="CC40" s="70"/>
      <c r="DV40" s="89">
        <v>78</v>
      </c>
      <c r="DW40" s="89">
        <v>43</v>
      </c>
    </row>
    <row r="41" spans="2:127" x14ac:dyDescent="0.25">
      <c r="B41" s="70">
        <f t="shared" si="22"/>
        <v>2</v>
      </c>
      <c r="C41" s="70">
        <f t="shared" si="0"/>
        <v>2</v>
      </c>
      <c r="E41" s="70">
        <f t="shared" si="23"/>
        <v>12</v>
      </c>
      <c r="F41" s="71">
        <f t="shared" si="24"/>
        <v>7.7896446918690447</v>
      </c>
      <c r="G41">
        <v>0.79827411531150749</v>
      </c>
      <c r="I41" s="70">
        <f t="shared" si="25"/>
        <v>12</v>
      </c>
      <c r="J41" s="71">
        <f t="shared" si="26"/>
        <v>5.4843007023038925</v>
      </c>
      <c r="K41">
        <v>0.88553758778798652</v>
      </c>
      <c r="M41" s="70">
        <f t="shared" si="27"/>
        <v>12</v>
      </c>
      <c r="N41" s="71">
        <f t="shared" si="28"/>
        <v>3.0843007023038922</v>
      </c>
      <c r="O41">
        <v>0.88553758778798652</v>
      </c>
      <c r="Q41" s="70">
        <f t="shared" si="29"/>
        <v>12</v>
      </c>
      <c r="R41" s="71">
        <f t="shared" si="30"/>
        <v>-9.0934825587838581</v>
      </c>
      <c r="S41">
        <v>0.24220978676801186</v>
      </c>
      <c r="U41" s="70">
        <f t="shared" si="31"/>
        <v>12</v>
      </c>
      <c r="V41" s="71">
        <f t="shared" si="32"/>
        <v>-7.5723120610600674</v>
      </c>
      <c r="W41">
        <v>0.88553758778798652</v>
      </c>
      <c r="AO41" s="94">
        <f t="shared" si="33"/>
        <v>2</v>
      </c>
      <c r="AP41" s="97">
        <f t="shared" si="34"/>
        <v>-9.7979589711327115</v>
      </c>
      <c r="AQ41" s="94"/>
      <c r="AR41" s="94">
        <f t="shared" si="35"/>
        <v>2</v>
      </c>
      <c r="AS41" s="97">
        <f t="shared" si="36"/>
        <v>-9.7979589711327115</v>
      </c>
      <c r="AT41" s="95"/>
      <c r="AU41" s="94"/>
      <c r="AV41" s="97"/>
      <c r="AW41" s="95"/>
      <c r="AX41" s="94"/>
      <c r="AY41" s="97"/>
      <c r="BQ41" s="70">
        <v>-5</v>
      </c>
      <c r="BR41" s="70">
        <v>-49</v>
      </c>
      <c r="CB41" s="70"/>
      <c r="CC41" s="70"/>
      <c r="DV41" s="89">
        <v>35</v>
      </c>
      <c r="DW41" s="89">
        <v>75</v>
      </c>
    </row>
    <row r="42" spans="2:127" x14ac:dyDescent="0.25">
      <c r="B42" s="70">
        <f t="shared" si="22"/>
        <v>3</v>
      </c>
      <c r="C42" s="70">
        <f t="shared" si="0"/>
        <v>3</v>
      </c>
      <c r="E42" s="70">
        <f t="shared" si="23"/>
        <v>13</v>
      </c>
      <c r="F42" s="71">
        <f t="shared" si="24"/>
        <v>6.2732775905314</v>
      </c>
      <c r="G42">
        <v>0.46221293175523337</v>
      </c>
      <c r="I42" s="70">
        <f t="shared" si="25"/>
        <v>13</v>
      </c>
      <c r="J42" s="71">
        <f t="shared" si="26"/>
        <v>0.5440966499295623</v>
      </c>
      <c r="K42">
        <v>0.24301208124119522</v>
      </c>
      <c r="M42" s="70">
        <f t="shared" si="27"/>
        <v>13</v>
      </c>
      <c r="N42" s="71">
        <f t="shared" si="28"/>
        <v>-2.0559033500704382</v>
      </c>
      <c r="O42">
        <v>0.24301208124119522</v>
      </c>
      <c r="Q42" s="70">
        <f t="shared" si="29"/>
        <v>13</v>
      </c>
      <c r="R42" s="71">
        <f t="shared" si="30"/>
        <v>-12.442388007329583</v>
      </c>
      <c r="S42">
        <v>4.8009993892013103E-3</v>
      </c>
      <c r="U42" s="70">
        <f t="shared" si="31"/>
        <v>13</v>
      </c>
      <c r="V42" s="71">
        <f t="shared" si="32"/>
        <v>-11.784939593794023</v>
      </c>
      <c r="W42">
        <v>0.24301208124119522</v>
      </c>
      <c r="AO42" s="94">
        <f t="shared" si="33"/>
        <v>3</v>
      </c>
      <c r="AP42" s="97">
        <f t="shared" si="34"/>
        <v>-9.5393920141694561</v>
      </c>
      <c r="AQ42" s="94"/>
      <c r="AR42" s="94">
        <f t="shared" si="35"/>
        <v>3</v>
      </c>
      <c r="AS42" s="97">
        <f t="shared" si="36"/>
        <v>-9.5393920141694561</v>
      </c>
      <c r="AT42" s="95"/>
      <c r="AU42" s="94"/>
      <c r="AV42" s="97"/>
      <c r="AW42" s="95"/>
      <c r="AX42" s="94"/>
      <c r="AY42" s="97"/>
      <c r="BQ42" s="70">
        <v>17</v>
      </c>
      <c r="BR42" s="70">
        <v>27</v>
      </c>
      <c r="CB42" s="70"/>
      <c r="CC42" s="70"/>
      <c r="DV42" s="89">
        <v>27</v>
      </c>
      <c r="DW42" s="89">
        <v>69</v>
      </c>
    </row>
    <row r="43" spans="2:127" x14ac:dyDescent="0.25">
      <c r="B43" s="70">
        <f t="shared" si="22"/>
        <v>4</v>
      </c>
      <c r="C43" s="70">
        <f t="shared" si="0"/>
        <v>4</v>
      </c>
      <c r="E43" s="70">
        <f t="shared" si="23"/>
        <v>14</v>
      </c>
      <c r="F43" s="71">
        <f t="shared" si="24"/>
        <v>7.5819850739915147</v>
      </c>
      <c r="G43">
        <v>0.596997512331919</v>
      </c>
      <c r="I43" s="70">
        <f t="shared" si="25"/>
        <v>14</v>
      </c>
      <c r="J43" s="71">
        <f t="shared" si="26"/>
        <v>3.7447590357386673</v>
      </c>
      <c r="K43">
        <v>0.61809487946733344</v>
      </c>
      <c r="M43" s="70">
        <f t="shared" si="27"/>
        <v>14</v>
      </c>
      <c r="N43" s="71">
        <f t="shared" si="28"/>
        <v>0.94475903573866749</v>
      </c>
      <c r="O43">
        <v>0.61809487946733344</v>
      </c>
      <c r="Q43" s="70">
        <f t="shared" si="29"/>
        <v>14</v>
      </c>
      <c r="R43" s="71">
        <f t="shared" si="30"/>
        <v>-4.2658484312390978</v>
      </c>
      <c r="S43">
        <v>0.72784596406340851</v>
      </c>
      <c r="U43" s="70">
        <f t="shared" si="31"/>
        <v>14</v>
      </c>
      <c r="V43" s="71">
        <f t="shared" si="32"/>
        <v>-10.909525602663333</v>
      </c>
      <c r="W43">
        <v>0.61809487946733344</v>
      </c>
      <c r="AO43" s="94">
        <f t="shared" si="33"/>
        <v>4</v>
      </c>
      <c r="AP43" s="97">
        <f t="shared" si="34"/>
        <v>-9.1651513899116797</v>
      </c>
      <c r="AQ43" s="94"/>
      <c r="AR43" s="94">
        <f t="shared" si="35"/>
        <v>4</v>
      </c>
      <c r="AS43" s="97">
        <f t="shared" si="36"/>
        <v>-9.1651513899116797</v>
      </c>
      <c r="AT43" s="95"/>
      <c r="AU43" s="94"/>
      <c r="AV43" s="97"/>
      <c r="AW43" s="95"/>
      <c r="AX43" s="94"/>
      <c r="AY43" s="97"/>
      <c r="BQ43" s="70">
        <v>-4</v>
      </c>
      <c r="BR43" s="70">
        <v>5</v>
      </c>
      <c r="CB43" s="70"/>
      <c r="CC43" s="70"/>
      <c r="DV43" s="89">
        <v>79</v>
      </c>
      <c r="DW43" s="89">
        <v>57</v>
      </c>
    </row>
    <row r="44" spans="2:127" x14ac:dyDescent="0.25">
      <c r="B44" s="70">
        <f t="shared" si="22"/>
        <v>5</v>
      </c>
      <c r="C44" s="70">
        <f t="shared" si="0"/>
        <v>5</v>
      </c>
      <c r="E44" s="70">
        <f t="shared" si="23"/>
        <v>15</v>
      </c>
      <c r="F44" s="71">
        <f t="shared" si="24"/>
        <v>8.7323118481345112</v>
      </c>
      <c r="G44">
        <v>0.70538530802241839</v>
      </c>
      <c r="I44" s="70">
        <f t="shared" si="25"/>
        <v>15</v>
      </c>
      <c r="J44" s="71">
        <f t="shared" si="26"/>
        <v>6.7257322016030265</v>
      </c>
      <c r="K44">
        <v>0.96571652520037843</v>
      </c>
      <c r="M44" s="70">
        <f t="shared" si="27"/>
        <v>15</v>
      </c>
      <c r="N44" s="71">
        <f t="shared" si="28"/>
        <v>3.7257322016030274</v>
      </c>
      <c r="O44">
        <v>0.96571652520037843</v>
      </c>
      <c r="Q44" s="70">
        <f t="shared" si="29"/>
        <v>15</v>
      </c>
      <c r="R44" s="71">
        <f t="shared" si="30"/>
        <v>-6.2324829510070021</v>
      </c>
      <c r="S44">
        <v>0.60562642074941653</v>
      </c>
      <c r="U44" s="70">
        <f t="shared" si="31"/>
        <v>15</v>
      </c>
      <c r="V44" s="71">
        <f t="shared" si="32"/>
        <v>-10.171417373998107</v>
      </c>
      <c r="W44">
        <v>0.96571652520037843</v>
      </c>
      <c r="AO44" s="94">
        <f t="shared" si="33"/>
        <v>5</v>
      </c>
      <c r="AP44" s="97">
        <f t="shared" si="34"/>
        <v>-8.6602540378443873</v>
      </c>
      <c r="AQ44" s="94"/>
      <c r="AR44" s="94">
        <f t="shared" si="35"/>
        <v>5</v>
      </c>
      <c r="AS44" s="97">
        <f t="shared" si="36"/>
        <v>-8.6602540378443873</v>
      </c>
      <c r="AT44" s="95"/>
      <c r="AU44" s="94"/>
      <c r="AV44" s="97"/>
      <c r="AW44" s="95"/>
      <c r="AX44" s="94"/>
      <c r="AY44" s="97"/>
      <c r="BQ44" s="70">
        <v>-47</v>
      </c>
      <c r="BR44" s="70">
        <v>-1</v>
      </c>
      <c r="CB44" s="70"/>
      <c r="CC44" s="70"/>
      <c r="DV44" s="89">
        <v>44</v>
      </c>
      <c r="DW44" s="89">
        <v>28</v>
      </c>
    </row>
    <row r="45" spans="2:127" x14ac:dyDescent="0.25">
      <c r="B45" s="70">
        <f t="shared" si="22"/>
        <v>6</v>
      </c>
      <c r="C45" s="70">
        <f t="shared" si="0"/>
        <v>6</v>
      </c>
      <c r="E45" s="70">
        <f t="shared" si="23"/>
        <v>16</v>
      </c>
      <c r="F45" s="71">
        <f t="shared" si="24"/>
        <v>9.4755056442255388</v>
      </c>
      <c r="G45">
        <v>0.74591760737092316</v>
      </c>
      <c r="I45" s="70">
        <f t="shared" si="25"/>
        <v>16</v>
      </c>
      <c r="J45" s="71">
        <f t="shared" si="26"/>
        <v>4.1561654162248942</v>
      </c>
      <c r="K45">
        <v>0.61952067702811164</v>
      </c>
      <c r="M45" s="70">
        <f t="shared" si="27"/>
        <v>16</v>
      </c>
      <c r="N45" s="71">
        <f t="shared" si="28"/>
        <v>0.95616541622489315</v>
      </c>
      <c r="O45">
        <v>0.61952067702811164</v>
      </c>
      <c r="Q45" s="70">
        <f t="shared" si="29"/>
        <v>16</v>
      </c>
      <c r="R45" s="71">
        <f t="shared" si="30"/>
        <v>-6.0007343787314031</v>
      </c>
      <c r="S45">
        <v>0.66660546843904978</v>
      </c>
      <c r="U45" s="70">
        <f t="shared" si="31"/>
        <v>16</v>
      </c>
      <c r="V45" s="71">
        <f t="shared" si="32"/>
        <v>-12.902396614859441</v>
      </c>
      <c r="W45">
        <v>0.61952067702811164</v>
      </c>
      <c r="AO45" s="94">
        <f t="shared" ref="AO45:AO49" si="37">AO44+1</f>
        <v>6</v>
      </c>
      <c r="AP45" s="97">
        <f t="shared" si="34"/>
        <v>-8</v>
      </c>
      <c r="AQ45" s="94"/>
      <c r="AR45" s="94">
        <f t="shared" si="35"/>
        <v>6</v>
      </c>
      <c r="AS45" s="97">
        <f t="shared" si="36"/>
        <v>-8</v>
      </c>
      <c r="AT45" s="95"/>
      <c r="AU45" s="94"/>
      <c r="AV45" s="97"/>
      <c r="AW45" s="95"/>
      <c r="AX45" s="94"/>
      <c r="AY45" s="97"/>
      <c r="BQ45" s="70">
        <v>-23</v>
      </c>
      <c r="BR45" s="70">
        <v>31</v>
      </c>
      <c r="CB45" s="70"/>
      <c r="CC45" s="70"/>
      <c r="DV45" s="89">
        <v>11</v>
      </c>
      <c r="DW45" s="89">
        <v>67</v>
      </c>
    </row>
    <row r="46" spans="2:127" x14ac:dyDescent="0.25">
      <c r="B46" s="70">
        <f t="shared" si="22"/>
        <v>7</v>
      </c>
      <c r="C46" s="70">
        <f t="shared" si="0"/>
        <v>7</v>
      </c>
      <c r="E46" s="70">
        <f t="shared" si="23"/>
        <v>17</v>
      </c>
      <c r="F46" s="71">
        <f t="shared" si="24"/>
        <v>6.2512826837458899</v>
      </c>
      <c r="G46">
        <v>0.1252137806243151</v>
      </c>
      <c r="I46" s="70">
        <f t="shared" si="25"/>
        <v>17</v>
      </c>
      <c r="J46" s="71">
        <f t="shared" si="26"/>
        <v>4.3733273837576672</v>
      </c>
      <c r="K46">
        <v>0.62166592296970835</v>
      </c>
      <c r="M46" s="70">
        <f t="shared" si="27"/>
        <v>17</v>
      </c>
      <c r="N46" s="71">
        <f t="shared" si="28"/>
        <v>0.97332738375766681</v>
      </c>
      <c r="O46">
        <v>0.62166592296970835</v>
      </c>
      <c r="Q46" s="70">
        <f t="shared" si="29"/>
        <v>17</v>
      </c>
      <c r="R46" s="71">
        <f t="shared" si="30"/>
        <v>-13.629866800911586</v>
      </c>
      <c r="S46">
        <v>7.2511099924034483E-2</v>
      </c>
      <c r="U46" s="70">
        <f t="shared" si="31"/>
        <v>17</v>
      </c>
      <c r="V46" s="71">
        <f t="shared" si="32"/>
        <v>-13.891670385151459</v>
      </c>
      <c r="W46">
        <v>0.62166592296970835</v>
      </c>
      <c r="AO46" s="94">
        <f t="shared" si="37"/>
        <v>7</v>
      </c>
      <c r="AP46" s="97">
        <f t="shared" si="34"/>
        <v>-7.1414284285428504</v>
      </c>
      <c r="AQ46" s="94"/>
      <c r="AR46" s="94">
        <f t="shared" si="35"/>
        <v>7</v>
      </c>
      <c r="AS46" s="97">
        <f t="shared" si="36"/>
        <v>-7.1414284285428504</v>
      </c>
      <c r="AT46" s="95"/>
      <c r="AU46" s="94"/>
      <c r="AV46" s="97"/>
      <c r="AW46" s="95"/>
      <c r="AX46" s="94"/>
      <c r="AY46" s="97"/>
      <c r="BQ46" s="70">
        <v>34</v>
      </c>
      <c r="BR46" s="70">
        <v>-44</v>
      </c>
      <c r="CB46" s="70"/>
      <c r="CC46" s="70"/>
      <c r="DV46" s="89">
        <v>21</v>
      </c>
      <c r="DW46" s="89">
        <v>72</v>
      </c>
    </row>
    <row r="47" spans="2:127" x14ac:dyDescent="0.25">
      <c r="B47" s="70">
        <f t="shared" si="22"/>
        <v>8</v>
      </c>
      <c r="C47" s="70">
        <f t="shared" si="0"/>
        <v>8</v>
      </c>
      <c r="E47" s="70">
        <f t="shared" si="23"/>
        <v>18</v>
      </c>
      <c r="F47" s="71">
        <f t="shared" si="24"/>
        <v>6.4856017715911545</v>
      </c>
      <c r="G47">
        <v>8.0933628598525709E-2</v>
      </c>
      <c r="I47" s="70">
        <f t="shared" si="25"/>
        <v>18</v>
      </c>
      <c r="J47" s="71">
        <f t="shared" si="26"/>
        <v>3.1780290716213138</v>
      </c>
      <c r="K47">
        <v>0.44725363395266415</v>
      </c>
      <c r="M47" s="70">
        <f t="shared" si="27"/>
        <v>18</v>
      </c>
      <c r="N47" s="71">
        <f t="shared" si="28"/>
        <v>-0.42197092837868677</v>
      </c>
      <c r="O47">
        <v>0.44725363395266415</v>
      </c>
      <c r="Q47" s="70">
        <f t="shared" si="29"/>
        <v>18</v>
      </c>
      <c r="R47" s="71">
        <f t="shared" si="30"/>
        <v>-11.745693683098953</v>
      </c>
      <c r="S47">
        <v>0.27119219307508724</v>
      </c>
      <c r="U47" s="70">
        <f t="shared" si="31"/>
        <v>18</v>
      </c>
      <c r="V47" s="71">
        <f t="shared" si="32"/>
        <v>-15.763731830236679</v>
      </c>
      <c r="W47">
        <v>0.44725363395266415</v>
      </c>
      <c r="AO47" s="94">
        <f t="shared" si="37"/>
        <v>8</v>
      </c>
      <c r="AP47" s="97">
        <f t="shared" si="34"/>
        <v>-6</v>
      </c>
      <c r="AQ47" s="94"/>
      <c r="AR47" s="94">
        <f t="shared" si="35"/>
        <v>8</v>
      </c>
      <c r="AS47" s="97">
        <f t="shared" si="36"/>
        <v>-6</v>
      </c>
      <c r="AT47" s="95"/>
      <c r="AU47" s="94"/>
      <c r="AV47" s="97"/>
      <c r="AW47" s="95"/>
      <c r="AX47" s="94"/>
      <c r="AY47" s="97"/>
      <c r="BQ47" s="70">
        <v>9</v>
      </c>
      <c r="BR47" s="70">
        <v>-16</v>
      </c>
      <c r="CB47" s="70"/>
      <c r="CC47" s="70"/>
      <c r="DV47" s="89">
        <v>17</v>
      </c>
      <c r="DW47" s="89">
        <v>10</v>
      </c>
    </row>
    <row r="48" spans="2:127" x14ac:dyDescent="0.25">
      <c r="B48" s="70">
        <f t="shared" si="22"/>
        <v>9</v>
      </c>
      <c r="C48" s="70">
        <f t="shared" si="0"/>
        <v>9</v>
      </c>
      <c r="E48" s="70">
        <f t="shared" si="23"/>
        <v>19</v>
      </c>
      <c r="F48" s="71">
        <f t="shared" si="24"/>
        <v>11.457750292265716</v>
      </c>
      <c r="G48">
        <v>0.82629171537761936</v>
      </c>
      <c r="I48" s="70">
        <f t="shared" si="25"/>
        <v>19</v>
      </c>
      <c r="J48" s="71">
        <f t="shared" si="26"/>
        <v>0.60648156430981359</v>
      </c>
      <c r="K48">
        <v>0.10081019553872672</v>
      </c>
      <c r="M48" s="70">
        <f t="shared" si="27"/>
        <v>19</v>
      </c>
      <c r="N48" s="71">
        <f t="shared" si="28"/>
        <v>1.6053640350898561</v>
      </c>
      <c r="O48">
        <v>0.70067050438623202</v>
      </c>
      <c r="Q48" s="70">
        <f t="shared" si="29"/>
        <v>19</v>
      </c>
      <c r="R48" s="71">
        <f t="shared" si="30"/>
        <v>-6.3604382425864419</v>
      </c>
      <c r="S48">
        <v>0.76163014645112981</v>
      </c>
      <c r="U48" s="70">
        <f t="shared" si="31"/>
        <v>19</v>
      </c>
      <c r="V48" s="71">
        <f t="shared" si="32"/>
        <v>-15.496647478068841</v>
      </c>
      <c r="W48">
        <v>0.70067050438623202</v>
      </c>
      <c r="AO48" s="94">
        <f t="shared" si="37"/>
        <v>9</v>
      </c>
      <c r="AP48" s="97">
        <f t="shared" si="34"/>
        <v>-4.358898943540674</v>
      </c>
      <c r="AQ48" s="94"/>
      <c r="AR48" s="94">
        <f t="shared" si="35"/>
        <v>9</v>
      </c>
      <c r="AS48" s="97">
        <f t="shared" si="36"/>
        <v>-4.358898943540674</v>
      </c>
      <c r="AT48" s="95"/>
      <c r="AU48" s="94"/>
      <c r="AV48" s="97"/>
      <c r="AW48" s="95"/>
      <c r="AX48" s="94"/>
      <c r="AY48" s="97"/>
      <c r="BQ48" s="70">
        <v>-41</v>
      </c>
      <c r="BR48" s="70">
        <v>-13</v>
      </c>
      <c r="CB48" s="70"/>
      <c r="CC48" s="70"/>
      <c r="DV48" s="89">
        <v>63</v>
      </c>
      <c r="DW48" s="89">
        <v>83</v>
      </c>
    </row>
    <row r="49" spans="2:127" x14ac:dyDescent="0.25">
      <c r="B49" s="70">
        <f t="shared" si="22"/>
        <v>10</v>
      </c>
      <c r="C49" s="70">
        <f t="shared" si="0"/>
        <v>10</v>
      </c>
      <c r="E49" s="70">
        <f t="shared" si="23"/>
        <v>20</v>
      </c>
      <c r="F49" s="71">
        <f t="shared" si="24"/>
        <v>11.119413067559652</v>
      </c>
      <c r="G49">
        <v>0.68656884459327538</v>
      </c>
      <c r="I49" s="70">
        <f t="shared" si="25"/>
        <v>20</v>
      </c>
      <c r="J49" s="71">
        <f t="shared" si="26"/>
        <v>3.273935692442385</v>
      </c>
      <c r="K49">
        <v>0.40924196155529813</v>
      </c>
      <c r="M49" s="70">
        <f t="shared" si="27"/>
        <v>20</v>
      </c>
      <c r="N49" s="71">
        <f t="shared" si="28"/>
        <v>-0.72606430755761497</v>
      </c>
      <c r="O49">
        <v>0.40924196155529813</v>
      </c>
      <c r="Q49" s="70">
        <f t="shared" si="29"/>
        <v>20</v>
      </c>
      <c r="R49" s="71">
        <f t="shared" si="30"/>
        <v>-12.997435137490694</v>
      </c>
      <c r="S49">
        <v>0.25021373854244222</v>
      </c>
      <c r="U49" s="70">
        <f t="shared" si="31"/>
        <v>20</v>
      </c>
      <c r="V49" s="71">
        <f t="shared" si="32"/>
        <v>-17.953790192223508</v>
      </c>
      <c r="W49">
        <v>0.40924196155529813</v>
      </c>
      <c r="AO49" s="94">
        <f t="shared" si="37"/>
        <v>10</v>
      </c>
      <c r="AP49" s="97">
        <f t="shared" si="34"/>
        <v>0</v>
      </c>
      <c r="AQ49" s="94"/>
      <c r="AR49" s="94"/>
      <c r="AS49" s="97"/>
      <c r="AT49" s="95"/>
      <c r="AU49" s="94"/>
      <c r="AV49" s="97"/>
      <c r="AW49" s="95"/>
      <c r="AX49" s="94"/>
      <c r="AY49" s="97"/>
      <c r="BQ49" s="70">
        <v>-23</v>
      </c>
      <c r="BR49" s="70">
        <v>4</v>
      </c>
      <c r="CB49" s="70"/>
      <c r="CC49" s="70"/>
      <c r="DV49" s="89">
        <v>2</v>
      </c>
      <c r="DW49" s="89">
        <v>71</v>
      </c>
    </row>
    <row r="50" spans="2:127" x14ac:dyDescent="0.25">
      <c r="C50" s="31"/>
      <c r="F50" s="31"/>
      <c r="J50" s="31"/>
      <c r="N50" s="31"/>
      <c r="R50" s="31"/>
      <c r="V50" s="31"/>
      <c r="AP50" s="31"/>
      <c r="AS50" s="31"/>
      <c r="AV50" s="31"/>
      <c r="AY50" s="31"/>
      <c r="BQ50" s="89">
        <v>24</v>
      </c>
      <c r="BR50" s="31">
        <v>-41</v>
      </c>
      <c r="CC50" s="31"/>
      <c r="DV50" s="89">
        <v>51</v>
      </c>
      <c r="DW50" s="89">
        <v>57</v>
      </c>
    </row>
    <row r="51" spans="2:127" x14ac:dyDescent="0.25">
      <c r="C51" s="31"/>
      <c r="F51" s="31"/>
      <c r="J51" s="31"/>
      <c r="N51" s="31"/>
      <c r="R51" s="31"/>
      <c r="V51" s="31"/>
      <c r="AP51" s="31"/>
      <c r="AS51" s="31"/>
      <c r="AV51" s="31"/>
      <c r="AY51" s="31"/>
      <c r="BQ51" s="89">
        <v>-47</v>
      </c>
      <c r="BR51" s="31">
        <v>45</v>
      </c>
      <c r="CC51" s="31"/>
      <c r="DV51" s="89">
        <v>39</v>
      </c>
      <c r="DW51" s="89">
        <v>12</v>
      </c>
    </row>
    <row r="52" spans="2:127" x14ac:dyDescent="0.25">
      <c r="C52" s="31"/>
      <c r="F52" s="31"/>
      <c r="J52" s="31"/>
      <c r="N52" s="31"/>
      <c r="R52" s="31"/>
      <c r="V52" s="31"/>
      <c r="AP52" s="31"/>
      <c r="AS52" s="31"/>
      <c r="AV52" s="31"/>
      <c r="AY52" s="31"/>
      <c r="BQ52" s="89">
        <v>-21</v>
      </c>
      <c r="BR52" s="31">
        <v>-43</v>
      </c>
      <c r="CC52" s="31"/>
      <c r="DV52" s="89">
        <v>89</v>
      </c>
      <c r="DW52" s="89">
        <v>31</v>
      </c>
    </row>
    <row r="53" spans="2:127" x14ac:dyDescent="0.25">
      <c r="C53" s="31"/>
      <c r="F53" s="31"/>
      <c r="J53" s="31"/>
      <c r="N53" s="31"/>
      <c r="R53" s="31"/>
      <c r="V53" s="31"/>
      <c r="AP53" s="31"/>
      <c r="AS53" s="31"/>
      <c r="AV53" s="31"/>
      <c r="AY53" s="31"/>
      <c r="BQ53" s="89">
        <v>46</v>
      </c>
      <c r="BR53" s="31">
        <v>-29</v>
      </c>
      <c r="CC53" s="31"/>
      <c r="DV53" s="89">
        <v>71</v>
      </c>
      <c r="DW53" s="89">
        <v>71</v>
      </c>
    </row>
    <row r="54" spans="2:127" x14ac:dyDescent="0.25">
      <c r="C54" s="31"/>
      <c r="F54" s="31"/>
      <c r="J54" s="31"/>
      <c r="N54" s="31"/>
      <c r="R54" s="31"/>
      <c r="V54" s="31"/>
      <c r="AP54" s="31"/>
      <c r="AS54" s="31"/>
      <c r="AV54" s="31"/>
      <c r="AY54" s="31"/>
      <c r="BQ54" s="89">
        <v>-28</v>
      </c>
      <c r="BR54" s="31">
        <v>10</v>
      </c>
      <c r="CC54" s="31"/>
      <c r="DV54" s="89">
        <v>18</v>
      </c>
      <c r="DW54" s="89">
        <v>19</v>
      </c>
    </row>
    <row r="55" spans="2:127" x14ac:dyDescent="0.25">
      <c r="C55" s="31"/>
      <c r="F55" s="31"/>
      <c r="J55" s="31"/>
      <c r="N55" s="31"/>
      <c r="R55" s="31"/>
      <c r="V55" s="31"/>
      <c r="AP55" s="31"/>
      <c r="AS55" s="31"/>
      <c r="AV55" s="31"/>
      <c r="AY55" s="31"/>
      <c r="BQ55" s="89">
        <v>3</v>
      </c>
      <c r="BR55" s="31">
        <v>-37</v>
      </c>
      <c r="CC55" s="31"/>
      <c r="DV55" s="89">
        <v>49</v>
      </c>
      <c r="DW55" s="89">
        <v>57</v>
      </c>
    </row>
    <row r="56" spans="2:127" x14ac:dyDescent="0.25">
      <c r="C56" s="31"/>
      <c r="F56" s="31"/>
      <c r="J56" s="31"/>
      <c r="N56" s="31"/>
      <c r="R56" s="31"/>
      <c r="V56" s="31"/>
      <c r="AP56" s="31"/>
      <c r="AS56" s="31"/>
      <c r="AV56" s="31"/>
      <c r="AY56" s="31"/>
      <c r="BQ56" s="89">
        <v>6</v>
      </c>
      <c r="BR56" s="31">
        <v>-13</v>
      </c>
      <c r="CC56" s="31"/>
      <c r="DV56" s="89">
        <v>92</v>
      </c>
      <c r="DW56" s="89">
        <v>90</v>
      </c>
    </row>
    <row r="57" spans="2:127" x14ac:dyDescent="0.25">
      <c r="C57" s="31"/>
      <c r="F57" s="31"/>
      <c r="J57" s="31"/>
      <c r="N57" s="31"/>
      <c r="R57" s="31"/>
      <c r="V57" s="31"/>
      <c r="AP57" s="31"/>
      <c r="AS57" s="31"/>
      <c r="AV57" s="31"/>
      <c r="AY57" s="31"/>
      <c r="BQ57" s="89">
        <v>-45</v>
      </c>
      <c r="BR57" s="31">
        <v>42</v>
      </c>
      <c r="CC57" s="31"/>
      <c r="DV57" s="89">
        <v>29</v>
      </c>
      <c r="DW57" s="89">
        <v>2</v>
      </c>
    </row>
    <row r="58" spans="2:127" x14ac:dyDescent="0.25">
      <c r="C58" s="31"/>
      <c r="F58" s="31"/>
      <c r="J58" s="31"/>
      <c r="N58" s="31"/>
      <c r="R58" s="31"/>
      <c r="V58" s="31"/>
      <c r="AP58" s="31"/>
      <c r="AS58" s="31"/>
      <c r="AV58" s="31"/>
      <c r="AY58" s="31"/>
      <c r="BQ58" s="89">
        <v>14</v>
      </c>
      <c r="BR58" s="31">
        <v>-21</v>
      </c>
      <c r="CC58" s="31"/>
    </row>
    <row r="59" spans="2:127" x14ac:dyDescent="0.25">
      <c r="C59" s="31"/>
      <c r="F59" s="31"/>
      <c r="J59" s="31"/>
      <c r="N59" s="31"/>
      <c r="R59" s="31"/>
      <c r="V59" s="31"/>
      <c r="AP59" s="31"/>
      <c r="AS59" s="31"/>
      <c r="AV59" s="31"/>
      <c r="AY59" s="31"/>
      <c r="BQ59" s="89">
        <v>-20</v>
      </c>
      <c r="BR59" s="31">
        <v>9</v>
      </c>
      <c r="CC59" s="31"/>
    </row>
    <row r="60" spans="2:127" x14ac:dyDescent="0.25">
      <c r="BQ60" s="89">
        <v>1</v>
      </c>
      <c r="BR60" s="89">
        <v>47</v>
      </c>
    </row>
    <row r="61" spans="2:127" x14ac:dyDescent="0.25">
      <c r="BQ61" s="89">
        <v>35</v>
      </c>
      <c r="BR61" s="89">
        <v>26</v>
      </c>
    </row>
    <row r="62" spans="2:127" x14ac:dyDescent="0.25">
      <c r="BQ62" s="89">
        <v>18</v>
      </c>
      <c r="BR62" s="89">
        <v>44</v>
      </c>
    </row>
    <row r="63" spans="2:127" x14ac:dyDescent="0.25">
      <c r="BQ63" s="89">
        <v>-17</v>
      </c>
      <c r="BR63" s="89">
        <v>-30</v>
      </c>
    </row>
    <row r="64" spans="2:127" x14ac:dyDescent="0.25">
      <c r="BQ64" s="89">
        <v>8</v>
      </c>
      <c r="BR64" s="89">
        <v>-35</v>
      </c>
    </row>
    <row r="65" spans="69:70" x14ac:dyDescent="0.25">
      <c r="BQ65" s="89">
        <v>39</v>
      </c>
      <c r="BR65" s="89">
        <v>-10</v>
      </c>
    </row>
    <row r="66" spans="69:70" x14ac:dyDescent="0.25">
      <c r="BQ66" s="89">
        <v>-36</v>
      </c>
      <c r="BR66" s="89">
        <v>-31</v>
      </c>
    </row>
    <row r="67" spans="69:70" x14ac:dyDescent="0.25">
      <c r="BQ67" s="89">
        <v>28</v>
      </c>
      <c r="BR67" s="89">
        <v>19</v>
      </c>
    </row>
    <row r="68" spans="69:70" x14ac:dyDescent="0.25">
      <c r="BQ68" s="89">
        <v>46</v>
      </c>
      <c r="BR68" s="89">
        <v>3</v>
      </c>
    </row>
    <row r="69" spans="69:70" x14ac:dyDescent="0.25">
      <c r="BQ69" s="89">
        <v>9</v>
      </c>
      <c r="BR69" s="89">
        <v>-47</v>
      </c>
    </row>
    <row r="70" spans="69:70" x14ac:dyDescent="0.25">
      <c r="BQ70" s="89">
        <v>41</v>
      </c>
      <c r="BR70" s="89">
        <v>-30</v>
      </c>
    </row>
    <row r="71" spans="69:70" x14ac:dyDescent="0.25">
      <c r="BQ71" s="89">
        <v>37</v>
      </c>
      <c r="BR71" s="89">
        <v>-12</v>
      </c>
    </row>
    <row r="72" spans="69:70" x14ac:dyDescent="0.25">
      <c r="BQ72" s="89">
        <v>-18</v>
      </c>
      <c r="BR72" s="89">
        <v>-5</v>
      </c>
    </row>
    <row r="73" spans="69:70" x14ac:dyDescent="0.25">
      <c r="BQ73" s="89">
        <v>4</v>
      </c>
      <c r="BR73" s="89">
        <v>-7</v>
      </c>
    </row>
    <row r="74" spans="69:70" x14ac:dyDescent="0.25">
      <c r="BQ74" s="89">
        <v>30</v>
      </c>
      <c r="BR74" s="89">
        <v>-35</v>
      </c>
    </row>
    <row r="75" spans="69:70" x14ac:dyDescent="0.25">
      <c r="BQ75" s="89">
        <v>2</v>
      </c>
      <c r="BR75" s="89">
        <v>-1</v>
      </c>
    </row>
    <row r="76" spans="69:70" x14ac:dyDescent="0.25">
      <c r="BQ76" s="89">
        <v>49</v>
      </c>
      <c r="BR76" s="89">
        <v>-24</v>
      </c>
    </row>
    <row r="77" spans="69:70" x14ac:dyDescent="0.25">
      <c r="BQ77" s="89">
        <v>41</v>
      </c>
      <c r="BR77" s="89">
        <v>47</v>
      </c>
    </row>
    <row r="78" spans="69:70" x14ac:dyDescent="0.25">
      <c r="BQ78" s="89">
        <v>32</v>
      </c>
      <c r="BR78" s="89">
        <v>23</v>
      </c>
    </row>
    <row r="79" spans="69:70" x14ac:dyDescent="0.25">
      <c r="BQ79" s="89">
        <v>3</v>
      </c>
      <c r="BR79" s="89">
        <v>27</v>
      </c>
    </row>
    <row r="80" spans="69:70" x14ac:dyDescent="0.25">
      <c r="BQ80" s="89">
        <v>-3</v>
      </c>
      <c r="BR80" s="89">
        <v>-39</v>
      </c>
    </row>
    <row r="81" spans="69:70" x14ac:dyDescent="0.25">
      <c r="BQ81" s="89">
        <v>-6</v>
      </c>
      <c r="BR81" s="89">
        <v>-19</v>
      </c>
    </row>
    <row r="82" spans="69:70" x14ac:dyDescent="0.25">
      <c r="BQ82" s="89">
        <v>-23</v>
      </c>
      <c r="BR82" s="89">
        <v>15</v>
      </c>
    </row>
    <row r="83" spans="69:70" x14ac:dyDescent="0.25">
      <c r="BQ83" s="89">
        <v>-40</v>
      </c>
      <c r="BR83" s="89">
        <v>1</v>
      </c>
    </row>
    <row r="84" spans="69:70" x14ac:dyDescent="0.25">
      <c r="BQ84" s="89">
        <v>-17</v>
      </c>
      <c r="BR84" s="89">
        <v>1</v>
      </c>
    </row>
    <row r="85" spans="69:70" x14ac:dyDescent="0.25">
      <c r="BQ85" s="89">
        <v>6</v>
      </c>
      <c r="BR85" s="89">
        <v>-34</v>
      </c>
    </row>
    <row r="86" spans="69:70" x14ac:dyDescent="0.25">
      <c r="BQ86" s="89">
        <v>20</v>
      </c>
      <c r="BR86" s="89">
        <v>-46</v>
      </c>
    </row>
    <row r="87" spans="69:70" x14ac:dyDescent="0.25">
      <c r="BQ87" s="89">
        <v>-5</v>
      </c>
      <c r="BR87" s="89">
        <v>45</v>
      </c>
    </row>
    <row r="88" spans="69:70" x14ac:dyDescent="0.25">
      <c r="BQ88" s="89">
        <v>-18</v>
      </c>
      <c r="BR88" s="89">
        <v>-35</v>
      </c>
    </row>
    <row r="89" spans="69:70" x14ac:dyDescent="0.25">
      <c r="BQ89" s="89">
        <v>20</v>
      </c>
      <c r="BR89" s="89">
        <v>18</v>
      </c>
    </row>
    <row r="90" spans="69:70" x14ac:dyDescent="0.25">
      <c r="BQ90" s="89">
        <v>30</v>
      </c>
      <c r="BR90" s="89">
        <v>25</v>
      </c>
    </row>
    <row r="91" spans="69:70" x14ac:dyDescent="0.25">
      <c r="BQ91" s="89">
        <v>-46</v>
      </c>
      <c r="BR91" s="89">
        <v>-5</v>
      </c>
    </row>
    <row r="92" spans="69:70" x14ac:dyDescent="0.25">
      <c r="BQ92" s="89">
        <v>-39</v>
      </c>
      <c r="BR92" s="89">
        <v>46</v>
      </c>
    </row>
    <row r="93" spans="69:70" x14ac:dyDescent="0.25">
      <c r="BQ93" s="89">
        <v>23</v>
      </c>
      <c r="BR93" s="89">
        <v>-39</v>
      </c>
    </row>
    <row r="94" spans="69:70" x14ac:dyDescent="0.25">
      <c r="BQ94" s="89">
        <v>-47</v>
      </c>
      <c r="BR94" s="89">
        <v>-11</v>
      </c>
    </row>
    <row r="95" spans="69:70" x14ac:dyDescent="0.25">
      <c r="BQ95" s="89">
        <v>5</v>
      </c>
      <c r="BR95" s="89">
        <v>21</v>
      </c>
    </row>
    <row r="96" spans="69:70" x14ac:dyDescent="0.25">
      <c r="BQ96" s="89">
        <v>44</v>
      </c>
      <c r="BR96" s="89">
        <v>-13</v>
      </c>
    </row>
    <row r="97" spans="69:70" x14ac:dyDescent="0.25">
      <c r="BQ97" s="89">
        <v>32</v>
      </c>
      <c r="BR97" s="89">
        <v>43</v>
      </c>
    </row>
    <row r="98" spans="69:70" x14ac:dyDescent="0.25">
      <c r="BQ98" s="89">
        <v>7</v>
      </c>
      <c r="BR98" s="89">
        <v>6</v>
      </c>
    </row>
  </sheetData>
  <mergeCells count="20">
    <mergeCell ref="B6:C6"/>
    <mergeCell ref="E6:F6"/>
    <mergeCell ref="I6:J6"/>
    <mergeCell ref="M6:N6"/>
    <mergeCell ref="U6:V6"/>
    <mergeCell ref="Q6:R6"/>
    <mergeCell ref="BQ6:BR6"/>
    <mergeCell ref="BQ3:BR3"/>
    <mergeCell ref="CB3:CC3"/>
    <mergeCell ref="CB6:CC6"/>
    <mergeCell ref="AO6:AP6"/>
    <mergeCell ref="AR6:AS6"/>
    <mergeCell ref="AU6:AV6"/>
    <mergeCell ref="AX6:AY6"/>
    <mergeCell ref="A1:N1"/>
    <mergeCell ref="CM5:CN5"/>
    <mergeCell ref="CY5:CZ5"/>
    <mergeCell ref="DK5:DL5"/>
    <mergeCell ref="DV5:DW5"/>
    <mergeCell ref="AO2:AY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8"/>
  <sheetViews>
    <sheetView showGridLines="0" zoomScale="80" zoomScaleNormal="80" workbookViewId="0">
      <selection sqref="A1:N1"/>
    </sheetView>
  </sheetViews>
  <sheetFormatPr defaultRowHeight="15" x14ac:dyDescent="0.25"/>
  <cols>
    <col min="2" max="2" width="12.5703125" customWidth="1"/>
    <col min="3" max="12" width="14.5703125" customWidth="1"/>
    <col min="16" max="16" width="12.85546875" bestFit="1" customWidth="1"/>
    <col min="17" max="17" width="15.5703125" customWidth="1"/>
    <col min="18" max="18" width="12.85546875" customWidth="1"/>
    <col min="23" max="24" width="12.140625" customWidth="1"/>
    <col min="31" max="31" width="14.28515625" bestFit="1" customWidth="1"/>
    <col min="32" max="32" width="11.140625" customWidth="1"/>
    <col min="33" max="33" width="10" customWidth="1"/>
    <col min="34" max="34" width="9.42578125" customWidth="1"/>
    <col min="35" max="35" width="9" customWidth="1"/>
    <col min="36" max="36" width="10.28515625" customWidth="1"/>
    <col min="37" max="37" width="9.140625" customWidth="1"/>
    <col min="38" max="38" width="7.85546875" customWidth="1"/>
    <col min="39" max="39" width="7.28515625" customWidth="1"/>
    <col min="40" max="40" width="7.42578125" customWidth="1"/>
    <col min="41" max="41" width="8" customWidth="1"/>
  </cols>
  <sheetData>
    <row r="1" spans="1:18" x14ac:dyDescent="0.25">
      <c r="A1" s="264" t="s">
        <v>607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4" spans="1:18" ht="15.75" thickBot="1" x14ac:dyDescent="0.3">
      <c r="B4" s="271" t="s">
        <v>436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</row>
    <row r="5" spans="1:18" ht="15.75" thickTop="1" x14ac:dyDescent="0.25">
      <c r="B5" s="2" t="s">
        <v>345</v>
      </c>
      <c r="C5" s="7" t="s">
        <v>364</v>
      </c>
      <c r="D5" s="3" t="s">
        <v>365</v>
      </c>
      <c r="E5" s="91" t="s">
        <v>366</v>
      </c>
      <c r="F5" s="91" t="s">
        <v>367</v>
      </c>
      <c r="G5" s="91" t="s">
        <v>368</v>
      </c>
      <c r="H5" s="91" t="s">
        <v>369</v>
      </c>
      <c r="I5" s="91" t="s">
        <v>370</v>
      </c>
      <c r="J5" s="91" t="s">
        <v>371</v>
      </c>
      <c r="K5" s="91" t="s">
        <v>372</v>
      </c>
      <c r="L5" s="91" t="s">
        <v>373</v>
      </c>
    </row>
    <row r="6" spans="1:18" x14ac:dyDescent="0.25">
      <c r="B6" s="100">
        <v>42373</v>
      </c>
      <c r="C6" s="101">
        <v>77.459999999999994</v>
      </c>
      <c r="D6" s="102">
        <v>88.85</v>
      </c>
      <c r="E6" s="31">
        <v>46.88</v>
      </c>
      <c r="F6" s="31">
        <v>31.06</v>
      </c>
      <c r="G6" s="31">
        <v>67.989999999999995</v>
      </c>
      <c r="H6" s="31">
        <v>89.97</v>
      </c>
      <c r="I6" s="31">
        <v>76.08</v>
      </c>
      <c r="J6" s="31">
        <v>175.05</v>
      </c>
      <c r="K6" s="31">
        <v>98.77</v>
      </c>
      <c r="L6" s="31">
        <v>71.61</v>
      </c>
    </row>
    <row r="7" spans="1:18" x14ac:dyDescent="0.25">
      <c r="B7" s="100">
        <v>42401</v>
      </c>
      <c r="C7" s="101">
        <v>76.290000000000006</v>
      </c>
      <c r="D7" s="102">
        <v>85.29</v>
      </c>
      <c r="E7" s="31">
        <v>38.6</v>
      </c>
      <c r="F7" s="31">
        <v>31.7</v>
      </c>
      <c r="G7" s="31">
        <v>62.7</v>
      </c>
      <c r="H7" s="31">
        <v>91.17</v>
      </c>
      <c r="I7" s="31">
        <v>76.8</v>
      </c>
      <c r="J7" s="31">
        <v>173.61</v>
      </c>
      <c r="K7" s="31">
        <v>99.03</v>
      </c>
      <c r="L7" s="31">
        <v>73.59</v>
      </c>
    </row>
    <row r="8" spans="1:18" x14ac:dyDescent="0.25">
      <c r="B8" s="100">
        <v>42430</v>
      </c>
      <c r="C8" s="101">
        <v>81.28</v>
      </c>
      <c r="D8" s="102">
        <v>86.13</v>
      </c>
      <c r="E8" s="31">
        <v>34.46</v>
      </c>
      <c r="F8" s="31">
        <v>29.63</v>
      </c>
      <c r="G8" s="31">
        <v>69.09</v>
      </c>
      <c r="H8" s="31">
        <v>100.26</v>
      </c>
      <c r="I8" s="31">
        <v>81.05</v>
      </c>
      <c r="J8" s="31">
        <v>178.2</v>
      </c>
      <c r="K8" s="31">
        <v>99.09</v>
      </c>
      <c r="L8" s="31">
        <v>74.17</v>
      </c>
    </row>
    <row r="9" spans="1:18" x14ac:dyDescent="0.25">
      <c r="B9" s="100">
        <v>42461</v>
      </c>
      <c r="C9" s="101">
        <v>82.96</v>
      </c>
      <c r="D9" s="102">
        <v>94.26</v>
      </c>
      <c r="E9" s="31">
        <v>39.78</v>
      </c>
      <c r="F9" s="31">
        <v>29.57</v>
      </c>
      <c r="G9" s="31">
        <v>76.790000000000006</v>
      </c>
      <c r="H9" s="31">
        <v>110.12</v>
      </c>
      <c r="I9" s="31">
        <v>76.5</v>
      </c>
      <c r="J9" s="31">
        <v>162.69</v>
      </c>
      <c r="K9" s="31">
        <v>103.78</v>
      </c>
      <c r="L9" s="31">
        <v>77.86</v>
      </c>
    </row>
    <row r="10" spans="1:18" x14ac:dyDescent="0.25">
      <c r="B10" s="100">
        <v>42492</v>
      </c>
      <c r="C10" s="101">
        <v>89.13</v>
      </c>
      <c r="D10" s="102">
        <v>103.31</v>
      </c>
      <c r="E10" s="31">
        <v>46.85</v>
      </c>
      <c r="F10" s="31">
        <v>33.619999999999997</v>
      </c>
      <c r="G10" s="31">
        <v>77.84</v>
      </c>
      <c r="H10" s="31">
        <v>116.53</v>
      </c>
      <c r="I10" s="31">
        <v>84.29</v>
      </c>
      <c r="J10" s="31">
        <v>164.36</v>
      </c>
      <c r="K10" s="31">
        <v>103.43</v>
      </c>
      <c r="L10" s="31">
        <v>77.44</v>
      </c>
    </row>
    <row r="11" spans="1:18" x14ac:dyDescent="0.25">
      <c r="B11" s="100">
        <v>42522</v>
      </c>
      <c r="C11" s="101">
        <v>89.24</v>
      </c>
      <c r="D11" s="102">
        <v>101.13</v>
      </c>
      <c r="E11" s="31">
        <v>44.06</v>
      </c>
      <c r="F11" s="31">
        <v>31.34</v>
      </c>
      <c r="G11" s="31">
        <v>72.27</v>
      </c>
      <c r="H11" s="31">
        <v>114.13</v>
      </c>
      <c r="I11" s="31">
        <v>82.83</v>
      </c>
      <c r="J11" s="31">
        <v>124.92</v>
      </c>
      <c r="K11" s="31">
        <v>101.57</v>
      </c>
      <c r="L11" s="31">
        <v>74.900000000000006</v>
      </c>
    </row>
    <row r="12" spans="1:18" x14ac:dyDescent="0.25">
      <c r="B12" s="100">
        <v>42552</v>
      </c>
      <c r="C12" s="101">
        <v>93.84</v>
      </c>
      <c r="D12" s="102">
        <v>104.15</v>
      </c>
      <c r="E12" s="31">
        <v>43.51</v>
      </c>
      <c r="F12" s="31">
        <v>36</v>
      </c>
      <c r="G12" s="31">
        <v>76.45</v>
      </c>
      <c r="H12" s="31">
        <v>112.92</v>
      </c>
      <c r="I12" s="31">
        <v>80.900000000000006</v>
      </c>
      <c r="J12" s="31">
        <v>144.82</v>
      </c>
      <c r="K12" s="31">
        <v>105.63</v>
      </c>
      <c r="L12" s="31">
        <v>81.599999999999994</v>
      </c>
      <c r="Q12">
        <f>CORREL(Q26:Q37,R26:R37)</f>
        <v>0.62580009860842478</v>
      </c>
    </row>
    <row r="13" spans="1:18" x14ac:dyDescent="0.25">
      <c r="B13" s="100">
        <v>42583</v>
      </c>
      <c r="C13" s="101">
        <v>85.86</v>
      </c>
      <c r="D13" s="102">
        <v>99.11</v>
      </c>
      <c r="E13" s="31">
        <v>39.61</v>
      </c>
      <c r="F13" s="31">
        <v>33.18</v>
      </c>
      <c r="G13" s="31">
        <v>81.95</v>
      </c>
      <c r="H13" s="31">
        <v>121.8</v>
      </c>
      <c r="I13" s="31">
        <v>77.69</v>
      </c>
      <c r="J13" s="31">
        <v>144.51</v>
      </c>
      <c r="K13" s="31">
        <v>108.93</v>
      </c>
      <c r="L13" s="31">
        <v>82.37</v>
      </c>
    </row>
    <row r="14" spans="1:18" x14ac:dyDescent="0.25">
      <c r="B14" s="100">
        <v>42614</v>
      </c>
      <c r="C14" s="101">
        <v>86.84</v>
      </c>
      <c r="D14" s="102">
        <v>100.21</v>
      </c>
      <c r="E14" s="31">
        <v>40.6</v>
      </c>
      <c r="F14" s="31">
        <v>33.659999999999997</v>
      </c>
      <c r="G14" s="31">
        <v>81.45</v>
      </c>
      <c r="H14" s="31">
        <v>125.41</v>
      </c>
      <c r="I14" s="31">
        <v>83.55</v>
      </c>
      <c r="J14" s="31">
        <v>152.65</v>
      </c>
      <c r="K14" s="31">
        <v>107.29</v>
      </c>
      <c r="L14" s="31">
        <v>81.69</v>
      </c>
    </row>
    <row r="15" spans="1:18" x14ac:dyDescent="0.25">
      <c r="B15" s="100">
        <v>42646</v>
      </c>
      <c r="C15" s="101">
        <v>87.05</v>
      </c>
      <c r="D15" s="102">
        <v>102.45</v>
      </c>
      <c r="E15" s="31">
        <v>43.43</v>
      </c>
      <c r="F15" s="31">
        <v>35.47</v>
      </c>
      <c r="G15" s="31">
        <v>88.28</v>
      </c>
      <c r="H15" s="31">
        <v>127.86</v>
      </c>
      <c r="I15" s="31">
        <v>85.35</v>
      </c>
      <c r="J15" s="31">
        <v>145.12</v>
      </c>
      <c r="K15" s="31">
        <v>108.25</v>
      </c>
      <c r="L15" s="31">
        <v>77.25</v>
      </c>
    </row>
    <row r="16" spans="1:18" x14ac:dyDescent="0.25">
      <c r="B16" s="100">
        <v>42675</v>
      </c>
      <c r="C16" s="101">
        <v>83.65</v>
      </c>
      <c r="D16" s="102">
        <v>106.48</v>
      </c>
      <c r="E16" s="31">
        <v>43.54</v>
      </c>
      <c r="F16" s="31">
        <v>34.11</v>
      </c>
      <c r="G16" s="31">
        <v>82.24</v>
      </c>
      <c r="H16" s="31">
        <v>122.29</v>
      </c>
      <c r="I16" s="31">
        <v>88.09</v>
      </c>
      <c r="J16" s="31">
        <v>141.41</v>
      </c>
      <c r="K16" s="31">
        <v>106.71</v>
      </c>
      <c r="L16" s="31">
        <v>75.209999999999994</v>
      </c>
      <c r="P16" t="s">
        <v>31</v>
      </c>
      <c r="Q16" s="118">
        <f>W20/(Q19-1)/Q18/R18</f>
        <v>0.62580009860842467</v>
      </c>
      <c r="R16" s="31"/>
    </row>
    <row r="17" spans="2:25" x14ac:dyDescent="0.25">
      <c r="B17" s="100">
        <v>42705</v>
      </c>
      <c r="C17" s="101">
        <v>87.24</v>
      </c>
      <c r="D17" s="102">
        <v>113.29</v>
      </c>
      <c r="E17" s="31">
        <v>48.22</v>
      </c>
      <c r="F17" s="31">
        <v>35.39</v>
      </c>
      <c r="G17" s="31">
        <v>96.24</v>
      </c>
      <c r="H17" s="31">
        <v>142.63</v>
      </c>
      <c r="I17" s="31">
        <v>102.7</v>
      </c>
      <c r="J17" s="31">
        <v>159.01</v>
      </c>
      <c r="K17" s="31">
        <v>99.03</v>
      </c>
      <c r="L17" s="31">
        <v>70.959999999999994</v>
      </c>
      <c r="Q17" s="91"/>
      <c r="R17" s="91"/>
    </row>
    <row r="18" spans="2:25" ht="15.75" thickBot="1" x14ac:dyDescent="0.3">
      <c r="B18" s="103">
        <v>42734</v>
      </c>
      <c r="C18" s="104">
        <v>90.26</v>
      </c>
      <c r="D18" s="105">
        <v>117.7</v>
      </c>
      <c r="E18" s="31">
        <v>50.14</v>
      </c>
      <c r="F18" s="31">
        <v>37.380000000000003</v>
      </c>
      <c r="G18" s="31">
        <v>92.74</v>
      </c>
      <c r="H18" s="31">
        <v>136.66999999999999</v>
      </c>
      <c r="I18" s="31">
        <v>103.04</v>
      </c>
      <c r="J18" s="31">
        <v>178.85</v>
      </c>
      <c r="K18" s="31">
        <v>104.63</v>
      </c>
      <c r="L18" s="31">
        <v>73.709999999999994</v>
      </c>
      <c r="P18" t="s">
        <v>30</v>
      </c>
      <c r="Q18" s="31">
        <f>SQRT(X20/($Q$19-1))</f>
        <v>4.5504500814264084</v>
      </c>
      <c r="R18" s="31">
        <f>SQRT(Y20/($Q$19-1))</f>
        <v>4.6683283389031498</v>
      </c>
    </row>
    <row r="19" spans="2:25" ht="15.75" thickTop="1" x14ac:dyDescent="0.25">
      <c r="P19" t="s">
        <v>29</v>
      </c>
      <c r="Q19" s="91">
        <f>COUNT(Q26:Q37)</f>
        <v>12</v>
      </c>
      <c r="R19" s="91"/>
    </row>
    <row r="20" spans="2:25" x14ac:dyDescent="0.25">
      <c r="V20" s="91" t="s">
        <v>28</v>
      </c>
      <c r="W20" s="31">
        <f>SUM(W26:W37)</f>
        <v>146.23255250420954</v>
      </c>
      <c r="X20" s="31">
        <f>SUM(X26:X37)</f>
        <v>227.77255537908968</v>
      </c>
      <c r="Y20" s="31">
        <f>SUM(Y26:Y37)</f>
        <v>239.7261842778687</v>
      </c>
    </row>
    <row r="21" spans="2:25" x14ac:dyDescent="0.25">
      <c r="P21" t="s">
        <v>22</v>
      </c>
      <c r="Q21" s="117">
        <f>AVERAGE(Q26:Q37)</f>
        <v>1.3783052145937542</v>
      </c>
      <c r="R21" s="117">
        <f>AVERAGE(R26:R37)</f>
        <v>2.4685345374522272</v>
      </c>
    </row>
    <row r="23" spans="2:25" ht="15.75" thickBot="1" x14ac:dyDescent="0.3">
      <c r="B23" s="270" t="s">
        <v>437</v>
      </c>
      <c r="C23" s="270"/>
      <c r="D23" s="270"/>
      <c r="E23" s="111"/>
      <c r="F23" s="111"/>
      <c r="G23" s="111"/>
      <c r="H23" s="111"/>
      <c r="I23" s="111"/>
      <c r="J23" s="111"/>
      <c r="K23" s="111"/>
      <c r="L23" s="111"/>
      <c r="Q23" s="272" t="s">
        <v>437</v>
      </c>
      <c r="R23" s="272"/>
    </row>
    <row r="24" spans="2:25" ht="18" thickTop="1" x14ac:dyDescent="0.25">
      <c r="B24" s="154" t="s">
        <v>345</v>
      </c>
      <c r="C24" s="155" t="s">
        <v>364</v>
      </c>
      <c r="D24" s="156" t="s">
        <v>365</v>
      </c>
      <c r="E24" s="91" t="s">
        <v>366</v>
      </c>
      <c r="F24" s="91" t="s">
        <v>367</v>
      </c>
      <c r="G24" s="91" t="s">
        <v>368</v>
      </c>
      <c r="H24" s="91" t="s">
        <v>369</v>
      </c>
      <c r="I24" s="91" t="s">
        <v>370</v>
      </c>
      <c r="J24" s="91" t="s">
        <v>371</v>
      </c>
      <c r="K24" s="91" t="s">
        <v>372</v>
      </c>
      <c r="L24" s="91" t="s">
        <v>373</v>
      </c>
      <c r="P24" s="92"/>
      <c r="Q24" s="92" t="s">
        <v>438</v>
      </c>
      <c r="R24" s="92" t="s">
        <v>439</v>
      </c>
      <c r="T24" s="91" t="s">
        <v>440</v>
      </c>
      <c r="U24" s="91" t="s">
        <v>441</v>
      </c>
      <c r="W24" s="113" t="s">
        <v>442</v>
      </c>
      <c r="X24" s="113" t="s">
        <v>443</v>
      </c>
      <c r="Y24" s="113" t="s">
        <v>444</v>
      </c>
    </row>
    <row r="25" spans="2:25" x14ac:dyDescent="0.25">
      <c r="B25" s="100">
        <v>42373</v>
      </c>
      <c r="C25" s="101"/>
      <c r="D25" s="102"/>
      <c r="E25" s="53"/>
      <c r="F25" s="31"/>
      <c r="G25" s="31"/>
      <c r="H25" s="31"/>
      <c r="I25" s="31"/>
      <c r="J25" s="31"/>
      <c r="K25" s="31"/>
      <c r="L25" s="31"/>
      <c r="P25" s="116"/>
      <c r="Q25" s="53"/>
      <c r="R25" s="53"/>
      <c r="T25" s="91"/>
      <c r="U25" s="91"/>
    </row>
    <row r="26" spans="2:25" x14ac:dyDescent="0.25">
      <c r="B26" s="100">
        <v>42401</v>
      </c>
      <c r="C26" s="106">
        <f>C7/C6-1</f>
        <v>-1.510457010069699E-2</v>
      </c>
      <c r="D26" s="108">
        <f>D7/D6-1</f>
        <v>-4.0067529544175473E-2</v>
      </c>
      <c r="E26" s="112">
        <f>E7/E6-1</f>
        <v>-0.17662116040955633</v>
      </c>
      <c r="F26" s="107">
        <f>F7/F6-1</f>
        <v>2.0605280103026313E-2</v>
      </c>
      <c r="G26" s="107">
        <f t="shared" ref="G26:L26" si="0">G7/G6-1</f>
        <v>-7.7805559641123567E-2</v>
      </c>
      <c r="H26" s="107">
        <f t="shared" si="0"/>
        <v>1.3337779259753324E-2</v>
      </c>
      <c r="I26" s="107">
        <f t="shared" si="0"/>
        <v>9.4637223974762819E-3</v>
      </c>
      <c r="J26" s="107">
        <f t="shared" si="0"/>
        <v>-8.2262210796915092E-3</v>
      </c>
      <c r="K26" s="107">
        <f t="shared" si="0"/>
        <v>2.6323782525059514E-3</v>
      </c>
      <c r="L26" s="107">
        <f t="shared" si="0"/>
        <v>2.7649769585253559E-2</v>
      </c>
      <c r="P26" s="116"/>
      <c r="Q26" s="117">
        <f>(C7/C6-1)*100</f>
        <v>-1.510457010069699</v>
      </c>
      <c r="R26" s="117">
        <f>(D7/D6-1)*100</f>
        <v>-4.0067529544175473</v>
      </c>
      <c r="T26" s="31">
        <f>Q26-Q$21</f>
        <v>-2.888762224663453</v>
      </c>
      <c r="U26" s="31">
        <f>R26-R$21</f>
        <v>-6.4752874918697749</v>
      </c>
      <c r="V26" s="19"/>
      <c r="W26" s="115">
        <f>T26*U26</f>
        <v>18.705565900349161</v>
      </c>
      <c r="X26" s="31">
        <f>T26^2</f>
        <v>8.344947190642543</v>
      </c>
      <c r="Y26" s="31">
        <f>U26^2</f>
        <v>41.929348102365161</v>
      </c>
    </row>
    <row r="27" spans="2:25" x14ac:dyDescent="0.25">
      <c r="B27" s="100">
        <v>42430</v>
      </c>
      <c r="C27" s="106">
        <f t="shared" ref="C27:L27" si="1">C8/C7-1</f>
        <v>6.5408310394547087E-2</v>
      </c>
      <c r="D27" s="108">
        <f t="shared" si="1"/>
        <v>9.8487513190290699E-3</v>
      </c>
      <c r="E27" s="112">
        <f t="shared" si="1"/>
        <v>-0.10725388601036268</v>
      </c>
      <c r="F27" s="107">
        <f t="shared" si="1"/>
        <v>-6.5299684542586722E-2</v>
      </c>
      <c r="G27" s="107">
        <f t="shared" si="1"/>
        <v>0.10191387559808618</v>
      </c>
      <c r="H27" s="107">
        <f t="shared" si="1"/>
        <v>9.9703849950641743E-2</v>
      </c>
      <c r="I27" s="107">
        <f t="shared" si="1"/>
        <v>5.5338541666666741E-2</v>
      </c>
      <c r="J27" s="107">
        <f t="shared" si="1"/>
        <v>2.6438569206842732E-2</v>
      </c>
      <c r="K27" s="107">
        <f t="shared" si="1"/>
        <v>6.058770069676811E-4</v>
      </c>
      <c r="L27" s="107">
        <f t="shared" si="1"/>
        <v>7.8815056393530813E-3</v>
      </c>
      <c r="P27" s="116"/>
      <c r="Q27" s="117">
        <f t="shared" ref="Q27:Q37" si="2">(C8/C7-1)*100</f>
        <v>6.5408310394547087</v>
      </c>
      <c r="R27" s="117">
        <f t="shared" ref="R27:R37" si="3">(D8/D7-1)*100</f>
        <v>0.98487513190290699</v>
      </c>
      <c r="T27" s="31">
        <f t="shared" ref="T27:U37" si="4">Q27-Q$21</f>
        <v>5.1625258248609542</v>
      </c>
      <c r="U27" s="31">
        <f t="shared" si="4"/>
        <v>-1.4836594055493202</v>
      </c>
      <c r="V27" s="19"/>
      <c r="W27" s="115">
        <f t="shared" ref="W27:W37" si="5">T27*U27</f>
        <v>-7.6594299964462174</v>
      </c>
      <c r="X27" s="31">
        <f t="shared" ref="X27:X37" si="6">T27^2</f>
        <v>26.651672892356277</v>
      </c>
      <c r="Y27" s="31">
        <f t="shared" ref="Y27:Y37" si="7">U27^2</f>
        <v>2.201245231674962</v>
      </c>
    </row>
    <row r="28" spans="2:25" x14ac:dyDescent="0.25">
      <c r="B28" s="100">
        <v>42461</v>
      </c>
      <c r="C28" s="106">
        <f t="shared" ref="C28:L28" si="8">C9/C8-1</f>
        <v>2.066929133858264E-2</v>
      </c>
      <c r="D28" s="108">
        <f t="shared" si="8"/>
        <v>9.4392197840473813E-2</v>
      </c>
      <c r="E28" s="112">
        <f t="shared" si="8"/>
        <v>0.15438189204875208</v>
      </c>
      <c r="F28" s="107">
        <f t="shared" si="8"/>
        <v>-2.0249746878163721E-3</v>
      </c>
      <c r="G28" s="107">
        <f t="shared" si="8"/>
        <v>0.11144883485309021</v>
      </c>
      <c r="H28" s="107">
        <f t="shared" si="8"/>
        <v>9.834430480750056E-2</v>
      </c>
      <c r="I28" s="107">
        <f t="shared" si="8"/>
        <v>-5.6138186304750093E-2</v>
      </c>
      <c r="J28" s="107">
        <f t="shared" si="8"/>
        <v>-8.7037037037037024E-2</v>
      </c>
      <c r="K28" s="107">
        <f t="shared" si="8"/>
        <v>4.7330709456050002E-2</v>
      </c>
      <c r="L28" s="107">
        <f t="shared" si="8"/>
        <v>4.9750573007954602E-2</v>
      </c>
      <c r="P28" s="116"/>
      <c r="Q28" s="117">
        <f t="shared" si="2"/>
        <v>2.066929133858264</v>
      </c>
      <c r="R28" s="117">
        <f t="shared" si="3"/>
        <v>9.4392197840473813</v>
      </c>
      <c r="T28" s="31">
        <f t="shared" si="4"/>
        <v>0.68862391926450983</v>
      </c>
      <c r="U28" s="31">
        <f t="shared" si="4"/>
        <v>6.9706852465951545</v>
      </c>
      <c r="V28" s="19"/>
      <c r="W28" s="115">
        <f t="shared" si="5"/>
        <v>4.8001805944696514</v>
      </c>
      <c r="X28" s="31">
        <f t="shared" si="6"/>
        <v>0.47420290218321415</v>
      </c>
      <c r="Y28" s="31">
        <f t="shared" si="7"/>
        <v>48.590452807099354</v>
      </c>
    </row>
    <row r="29" spans="2:25" x14ac:dyDescent="0.25">
      <c r="B29" s="100">
        <v>42492</v>
      </c>
      <c r="C29" s="106">
        <f t="shared" ref="C29:L29" si="9">C10/C9-1</f>
        <v>7.4373191899710811E-2</v>
      </c>
      <c r="D29" s="108">
        <f t="shared" si="9"/>
        <v>9.6011033312115357E-2</v>
      </c>
      <c r="E29" s="112">
        <f t="shared" si="9"/>
        <v>0.17772750125691306</v>
      </c>
      <c r="F29" s="107">
        <f t="shared" si="9"/>
        <v>0.13696313831586049</v>
      </c>
      <c r="G29" s="107">
        <f t="shared" si="9"/>
        <v>1.3673655423883213E-2</v>
      </c>
      <c r="H29" s="107">
        <f t="shared" si="9"/>
        <v>5.8209226298583383E-2</v>
      </c>
      <c r="I29" s="107">
        <f t="shared" si="9"/>
        <v>0.10183006535947725</v>
      </c>
      <c r="J29" s="107">
        <f t="shared" si="9"/>
        <v>1.0264921015428197E-2</v>
      </c>
      <c r="K29" s="107">
        <f t="shared" si="9"/>
        <v>-3.3725187897475362E-3</v>
      </c>
      <c r="L29" s="107">
        <f t="shared" si="9"/>
        <v>-5.394297456974062E-3</v>
      </c>
      <c r="P29" s="116"/>
      <c r="Q29" s="117">
        <f t="shared" si="2"/>
        <v>7.4373191899710811</v>
      </c>
      <c r="R29" s="117">
        <f t="shared" si="3"/>
        <v>9.6011033312115366</v>
      </c>
      <c r="T29" s="31">
        <f t="shared" si="4"/>
        <v>6.0590139753773267</v>
      </c>
      <c r="U29" s="31">
        <f t="shared" si="4"/>
        <v>7.1325687937593099</v>
      </c>
      <c r="V29" s="19"/>
      <c r="W29" s="115">
        <f t="shared" si="5"/>
        <v>43.216334001727859</v>
      </c>
      <c r="X29" s="31">
        <f t="shared" si="6"/>
        <v>36.711650353817753</v>
      </c>
      <c r="Y29" s="31">
        <f t="shared" si="7"/>
        <v>50.873537597709138</v>
      </c>
    </row>
    <row r="30" spans="2:25" x14ac:dyDescent="0.25">
      <c r="B30" s="100">
        <v>42522</v>
      </c>
      <c r="C30" s="106">
        <f t="shared" ref="C30:L30" si="10">C11/C10-1</f>
        <v>1.2341523617187544E-3</v>
      </c>
      <c r="D30" s="108">
        <f t="shared" si="10"/>
        <v>-2.1101539057206575E-2</v>
      </c>
      <c r="E30" s="112">
        <f t="shared" si="10"/>
        <v>-5.9551760939167586E-2</v>
      </c>
      <c r="F30" s="107">
        <f t="shared" si="10"/>
        <v>-6.7816775728732792E-2</v>
      </c>
      <c r="G30" s="107">
        <f t="shared" si="10"/>
        <v>-7.155704008222008E-2</v>
      </c>
      <c r="H30" s="107">
        <f t="shared" si="10"/>
        <v>-2.059555479275732E-2</v>
      </c>
      <c r="I30" s="107">
        <f t="shared" si="10"/>
        <v>-1.7321153161703684E-2</v>
      </c>
      <c r="J30" s="107">
        <f t="shared" si="10"/>
        <v>-0.23996106108542226</v>
      </c>
      <c r="K30" s="107">
        <f t="shared" si="10"/>
        <v>-1.7983177027941721E-2</v>
      </c>
      <c r="L30" s="107">
        <f t="shared" si="10"/>
        <v>-3.2799586776859457E-2</v>
      </c>
      <c r="P30" s="116"/>
      <c r="Q30" s="117">
        <f t="shared" si="2"/>
        <v>0.12341523617187544</v>
      </c>
      <c r="R30" s="117">
        <f t="shared" si="3"/>
        <v>-2.1101539057206575</v>
      </c>
      <c r="T30" s="31">
        <f t="shared" si="4"/>
        <v>-1.2548899784218788</v>
      </c>
      <c r="U30" s="31">
        <f t="shared" si="4"/>
        <v>-4.5786884431728847</v>
      </c>
      <c r="V30" s="19"/>
      <c r="W30" s="115">
        <f t="shared" si="5"/>
        <v>5.7457502416537274</v>
      </c>
      <c r="X30" s="31">
        <f t="shared" si="6"/>
        <v>1.5747488579436633</v>
      </c>
      <c r="Y30" s="31">
        <f t="shared" si="7"/>
        <v>20.964387859644933</v>
      </c>
    </row>
    <row r="31" spans="2:25" x14ac:dyDescent="0.25">
      <c r="B31" s="100">
        <v>42552</v>
      </c>
      <c r="C31" s="106">
        <f t="shared" ref="C31:L31" si="11">C12/C11-1</f>
        <v>5.1546391752577359E-2</v>
      </c>
      <c r="D31" s="108">
        <f t="shared" si="11"/>
        <v>2.9862553149411664E-2</v>
      </c>
      <c r="E31" s="112">
        <f t="shared" si="11"/>
        <v>-1.248297775760332E-2</v>
      </c>
      <c r="F31" s="107">
        <f t="shared" si="11"/>
        <v>0.14869176770899806</v>
      </c>
      <c r="G31" s="107">
        <f t="shared" si="11"/>
        <v>5.7838660578386714E-2</v>
      </c>
      <c r="H31" s="107">
        <f t="shared" si="11"/>
        <v>-1.0601945150267134E-2</v>
      </c>
      <c r="I31" s="107">
        <f t="shared" si="11"/>
        <v>-2.3300736448146675E-2</v>
      </c>
      <c r="J31" s="107">
        <f t="shared" si="11"/>
        <v>0.1593019532500799</v>
      </c>
      <c r="K31" s="107">
        <f t="shared" si="11"/>
        <v>3.997243280496221E-2</v>
      </c>
      <c r="L31" s="107">
        <f t="shared" si="11"/>
        <v>8.94526034712948E-2</v>
      </c>
      <c r="P31" s="116"/>
      <c r="Q31" s="117">
        <f t="shared" si="2"/>
        <v>5.1546391752577359</v>
      </c>
      <c r="R31" s="117">
        <f t="shared" si="3"/>
        <v>2.9862553149411664</v>
      </c>
      <c r="T31" s="31">
        <f t="shared" si="4"/>
        <v>3.7763339606639814</v>
      </c>
      <c r="U31" s="31">
        <f t="shared" si="4"/>
        <v>0.51772077748893919</v>
      </c>
      <c r="V31" s="19"/>
      <c r="W31" s="115">
        <f t="shared" si="5"/>
        <v>1.9550865541728415</v>
      </c>
      <c r="X31" s="31">
        <f t="shared" si="6"/>
        <v>14.260698182464113</v>
      </c>
      <c r="Y31" s="31">
        <f t="shared" si="7"/>
        <v>0.26803480344375169</v>
      </c>
    </row>
    <row r="32" spans="2:25" x14ac:dyDescent="0.25">
      <c r="B32" s="100">
        <v>42583</v>
      </c>
      <c r="C32" s="106">
        <f t="shared" ref="C32:L32" si="12">C13/C12-1</f>
        <v>-8.5038363171355491E-2</v>
      </c>
      <c r="D32" s="108">
        <f t="shared" si="12"/>
        <v>-4.839174267882862E-2</v>
      </c>
      <c r="E32" s="112">
        <f t="shared" si="12"/>
        <v>-8.9634566766260582E-2</v>
      </c>
      <c r="F32" s="107">
        <f t="shared" si="12"/>
        <v>-7.8333333333333366E-2</v>
      </c>
      <c r="G32" s="107">
        <f t="shared" si="12"/>
        <v>7.1942446043165464E-2</v>
      </c>
      <c r="H32" s="107">
        <f t="shared" si="12"/>
        <v>7.8639744952178514E-2</v>
      </c>
      <c r="I32" s="107">
        <f t="shared" si="12"/>
        <v>-3.9678615574783804E-2</v>
      </c>
      <c r="J32" s="107">
        <f t="shared" si="12"/>
        <v>-2.1405883165308559E-3</v>
      </c>
      <c r="K32" s="107">
        <f t="shared" si="12"/>
        <v>3.1241124680488674E-2</v>
      </c>
      <c r="L32" s="107">
        <f t="shared" si="12"/>
        <v>9.4362745098039991E-3</v>
      </c>
      <c r="P32" s="116"/>
      <c r="Q32" s="117">
        <f t="shared" si="2"/>
        <v>-8.5038363171355495</v>
      </c>
      <c r="R32" s="117">
        <f t="shared" si="3"/>
        <v>-4.8391742678828624</v>
      </c>
      <c r="T32" s="31">
        <f t="shared" si="4"/>
        <v>-9.8821415317293031</v>
      </c>
      <c r="U32" s="31">
        <f t="shared" si="4"/>
        <v>-7.3077088053350892</v>
      </c>
      <c r="V32" s="19"/>
      <c r="W32" s="115">
        <f t="shared" si="5"/>
        <v>72.215812686985814</v>
      </c>
      <c r="X32" s="31">
        <f t="shared" si="6"/>
        <v>97.656721253129177</v>
      </c>
      <c r="Y32" s="31">
        <f t="shared" si="7"/>
        <v>53.402607983571997</v>
      </c>
    </row>
    <row r="33" spans="2:25" x14ac:dyDescent="0.25">
      <c r="B33" s="100">
        <v>42614</v>
      </c>
      <c r="C33" s="106">
        <f t="shared" ref="C33:L33" si="13">C14/C13-1</f>
        <v>1.1413929652923427E-2</v>
      </c>
      <c r="D33" s="108">
        <f t="shared" si="13"/>
        <v>1.1098779134295134E-2</v>
      </c>
      <c r="E33" s="112">
        <f t="shared" si="13"/>
        <v>2.4993688462509489E-2</v>
      </c>
      <c r="F33" s="107">
        <f t="shared" si="13"/>
        <v>1.4466546112115619E-2</v>
      </c>
      <c r="G33" s="107">
        <f t="shared" si="13"/>
        <v>-6.1012812690665053E-3</v>
      </c>
      <c r="H33" s="107">
        <f t="shared" si="13"/>
        <v>2.9638752052545181E-2</v>
      </c>
      <c r="I33" s="107">
        <f t="shared" si="13"/>
        <v>7.5427983009396238E-2</v>
      </c>
      <c r="J33" s="107">
        <f t="shared" si="13"/>
        <v>5.6328281779807643E-2</v>
      </c>
      <c r="K33" s="107">
        <f t="shared" si="13"/>
        <v>-1.5055540255209721E-2</v>
      </c>
      <c r="L33" s="107">
        <f t="shared" si="13"/>
        <v>-8.255432803205176E-3</v>
      </c>
      <c r="P33" s="116"/>
      <c r="Q33" s="117">
        <f t="shared" si="2"/>
        <v>1.1413929652923427</v>
      </c>
      <c r="R33" s="117">
        <f t="shared" si="3"/>
        <v>1.1098779134295134</v>
      </c>
      <c r="T33" s="31">
        <f t="shared" si="4"/>
        <v>-0.23691224930141153</v>
      </c>
      <c r="U33" s="31">
        <f t="shared" si="4"/>
        <v>-1.3586566240227138</v>
      </c>
      <c r="V33" s="19"/>
      <c r="W33" s="115">
        <f t="shared" si="5"/>
        <v>0.32188239682548331</v>
      </c>
      <c r="X33" s="31">
        <f t="shared" si="6"/>
        <v>5.6127413869054163E-2</v>
      </c>
      <c r="Y33" s="31">
        <f t="shared" si="7"/>
        <v>1.8459478220007979</v>
      </c>
    </row>
    <row r="34" spans="2:25" x14ac:dyDescent="0.25">
      <c r="B34" s="100">
        <v>42646</v>
      </c>
      <c r="C34" s="106">
        <f t="shared" ref="C34:L34" si="14">C15/C14-1</f>
        <v>2.4182404421924097E-3</v>
      </c>
      <c r="D34" s="108">
        <f t="shared" si="14"/>
        <v>2.2353058576988438E-2</v>
      </c>
      <c r="E34" s="112">
        <f t="shared" si="14"/>
        <v>6.9704433497536966E-2</v>
      </c>
      <c r="F34" s="107">
        <f t="shared" si="14"/>
        <v>5.3773024361259747E-2</v>
      </c>
      <c r="G34" s="107">
        <f t="shared" si="14"/>
        <v>8.3855125844076062E-2</v>
      </c>
      <c r="H34" s="107">
        <f t="shared" si="14"/>
        <v>1.9535922175265119E-2</v>
      </c>
      <c r="I34" s="107">
        <f t="shared" si="14"/>
        <v>2.1543985637342944E-2</v>
      </c>
      <c r="J34" s="107">
        <f t="shared" si="14"/>
        <v>-4.9328529315427416E-2</v>
      </c>
      <c r="K34" s="107">
        <f t="shared" si="14"/>
        <v>8.9477118091154662E-3</v>
      </c>
      <c r="L34" s="107">
        <f t="shared" si="14"/>
        <v>-5.4351817847961725E-2</v>
      </c>
      <c r="P34" s="116"/>
      <c r="Q34" s="117">
        <f t="shared" si="2"/>
        <v>0.24182404421924097</v>
      </c>
      <c r="R34" s="117">
        <f t="shared" si="3"/>
        <v>2.2353058576988438</v>
      </c>
      <c r="T34" s="31">
        <f t="shared" si="4"/>
        <v>-1.1364811703745132</v>
      </c>
      <c r="U34" s="31">
        <f t="shared" si="4"/>
        <v>-0.23322867975338335</v>
      </c>
      <c r="V34" s="19"/>
      <c r="W34" s="115">
        <f t="shared" si="5"/>
        <v>0.26506000293102766</v>
      </c>
      <c r="X34" s="31">
        <f t="shared" si="6"/>
        <v>1.2915894506158234</v>
      </c>
      <c r="Y34" s="31">
        <f t="shared" si="7"/>
        <v>5.4395617059506247E-2</v>
      </c>
    </row>
    <row r="35" spans="2:25" x14ac:dyDescent="0.25">
      <c r="B35" s="100">
        <v>42675</v>
      </c>
      <c r="C35" s="106">
        <f t="shared" ref="C35:L35" si="15">C16/C15-1</f>
        <v>-3.9058012636415729E-2</v>
      </c>
      <c r="D35" s="108">
        <f t="shared" si="15"/>
        <v>3.9336261591019994E-2</v>
      </c>
      <c r="E35" s="112">
        <f t="shared" si="15"/>
        <v>2.5328114206768504E-3</v>
      </c>
      <c r="F35" s="107">
        <f t="shared" si="15"/>
        <v>-3.8342261065689276E-2</v>
      </c>
      <c r="G35" s="107">
        <f t="shared" si="15"/>
        <v>-6.841866787494344E-2</v>
      </c>
      <c r="H35" s="107">
        <f t="shared" si="15"/>
        <v>-4.3563272329109948E-2</v>
      </c>
      <c r="I35" s="107">
        <f t="shared" si="15"/>
        <v>3.2103104862331699E-2</v>
      </c>
      <c r="J35" s="107">
        <f t="shared" si="15"/>
        <v>-2.5565049614112545E-2</v>
      </c>
      <c r="K35" s="107">
        <f t="shared" si="15"/>
        <v>-1.4226327944572792E-2</v>
      </c>
      <c r="L35" s="107">
        <f t="shared" si="15"/>
        <v>-2.6407766990291348E-2</v>
      </c>
      <c r="P35" s="116"/>
      <c r="Q35" s="117">
        <f t="shared" si="2"/>
        <v>-3.9058012636415729</v>
      </c>
      <c r="R35" s="117">
        <f t="shared" si="3"/>
        <v>3.9336261591019994</v>
      </c>
      <c r="T35" s="31">
        <f t="shared" si="4"/>
        <v>-5.2841064782353273</v>
      </c>
      <c r="U35" s="31">
        <f t="shared" si="4"/>
        <v>1.4650916216497722</v>
      </c>
      <c r="V35" s="19"/>
      <c r="W35" s="115">
        <f t="shared" si="5"/>
        <v>-7.7417001291678629</v>
      </c>
      <c r="X35" s="31">
        <f t="shared" si="6"/>
        <v>27.921781273328552</v>
      </c>
      <c r="Y35" s="31">
        <f t="shared" si="7"/>
        <v>2.1464934598283594</v>
      </c>
    </row>
    <row r="36" spans="2:25" x14ac:dyDescent="0.25">
      <c r="B36" s="100">
        <v>42705</v>
      </c>
      <c r="C36" s="106">
        <f t="shared" ref="C36:L36" si="16">C17/C16-1</f>
        <v>4.2916915720262905E-2</v>
      </c>
      <c r="D36" s="108">
        <f t="shared" si="16"/>
        <v>6.3955672426746935E-2</v>
      </c>
      <c r="E36" s="112">
        <f t="shared" si="16"/>
        <v>0.10748736793752878</v>
      </c>
      <c r="F36" s="107">
        <f t="shared" si="16"/>
        <v>3.7525652301377832E-2</v>
      </c>
      <c r="G36" s="107">
        <f t="shared" si="16"/>
        <v>0.17023346303501952</v>
      </c>
      <c r="H36" s="107">
        <f t="shared" si="16"/>
        <v>0.16632594652056576</v>
      </c>
      <c r="I36" s="107">
        <f t="shared" si="16"/>
        <v>0.16585310477920312</v>
      </c>
      <c r="J36" s="107">
        <f t="shared" si="16"/>
        <v>0.12446078778021352</v>
      </c>
      <c r="K36" s="107">
        <f t="shared" si="16"/>
        <v>-7.1970761877987011E-2</v>
      </c>
      <c r="L36" s="107">
        <f t="shared" si="16"/>
        <v>-5.6508443026193289E-2</v>
      </c>
      <c r="P36" s="116"/>
      <c r="Q36" s="117">
        <f t="shared" si="2"/>
        <v>4.2916915720262905</v>
      </c>
      <c r="R36" s="117">
        <f t="shared" si="3"/>
        <v>6.3955672426746935</v>
      </c>
      <c r="T36" s="31">
        <f t="shared" si="4"/>
        <v>2.913386357432536</v>
      </c>
      <c r="U36" s="31">
        <f t="shared" si="4"/>
        <v>3.9270327052224663</v>
      </c>
      <c r="V36" s="19"/>
      <c r="W36" s="115">
        <f t="shared" si="5"/>
        <v>11.440963508586519</v>
      </c>
      <c r="X36" s="31">
        <f t="shared" si="6"/>
        <v>8.4878200676740203</v>
      </c>
      <c r="Y36" s="31">
        <f t="shared" si="7"/>
        <v>15.421585867886881</v>
      </c>
    </row>
    <row r="37" spans="2:25" ht="15.75" thickBot="1" x14ac:dyDescent="0.3">
      <c r="B37" s="103">
        <v>42734</v>
      </c>
      <c r="C37" s="109">
        <f t="shared" ref="C37:L37" si="17">C18/C17-1</f>
        <v>3.4617148097203287E-2</v>
      </c>
      <c r="D37" s="110">
        <f t="shared" si="17"/>
        <v>3.8926648424397525E-2</v>
      </c>
      <c r="E37" s="112">
        <f t="shared" si="17"/>
        <v>3.9817503110742392E-2</v>
      </c>
      <c r="F37" s="107">
        <f t="shared" si="17"/>
        <v>5.6230573608363921E-2</v>
      </c>
      <c r="G37" s="107">
        <f t="shared" si="17"/>
        <v>-3.6367414796342534E-2</v>
      </c>
      <c r="H37" s="107">
        <f t="shared" si="17"/>
        <v>-4.178644044030011E-2</v>
      </c>
      <c r="I37" s="107">
        <f t="shared" si="17"/>
        <v>3.3106134371958529E-3</v>
      </c>
      <c r="J37" s="107">
        <f t="shared" si="17"/>
        <v>0.12477202691654621</v>
      </c>
      <c r="K37" s="107">
        <f t="shared" si="17"/>
        <v>5.6548520650308021E-2</v>
      </c>
      <c r="L37" s="107">
        <f t="shared" si="17"/>
        <v>3.8754227733934554E-2</v>
      </c>
      <c r="P37" s="116"/>
      <c r="Q37" s="117">
        <f t="shared" si="2"/>
        <v>3.4617148097203287</v>
      </c>
      <c r="R37" s="117">
        <f t="shared" si="3"/>
        <v>3.8926648424397525</v>
      </c>
      <c r="T37" s="31">
        <f t="shared" si="4"/>
        <v>2.0834095951265743</v>
      </c>
      <c r="U37" s="31">
        <f t="shared" si="4"/>
        <v>1.4241303049875254</v>
      </c>
      <c r="V37" s="19"/>
      <c r="W37" s="115">
        <f t="shared" si="5"/>
        <v>2.967046742121545</v>
      </c>
      <c r="X37" s="31">
        <f t="shared" si="6"/>
        <v>4.3405955410654764</v>
      </c>
      <c r="Y37" s="31">
        <f t="shared" si="7"/>
        <v>2.0281471255838621</v>
      </c>
    </row>
    <row r="38" spans="2:25" ht="16.5" thickTop="1" thickBot="1" x14ac:dyDescent="0.3"/>
    <row r="39" spans="2:25" ht="15.75" thickTop="1" x14ac:dyDescent="0.25">
      <c r="K39" s="93" t="s">
        <v>31</v>
      </c>
      <c r="L39" s="119">
        <f>CORREL(L44:L55,M44:M55)</f>
        <v>0.22403757415502981</v>
      </c>
      <c r="M39" s="120"/>
    </row>
    <row r="40" spans="2:25" x14ac:dyDescent="0.25">
      <c r="K40" s="20"/>
      <c r="L40" s="23"/>
      <c r="M40" s="24"/>
    </row>
    <row r="41" spans="2:25" x14ac:dyDescent="0.25">
      <c r="K41" s="273" t="s">
        <v>445</v>
      </c>
      <c r="L41" s="274"/>
      <c r="M41" s="275"/>
    </row>
    <row r="42" spans="2:25" x14ac:dyDescent="0.25">
      <c r="K42" s="4" t="str">
        <f t="shared" ref="K42:K55" si="18">B24</f>
        <v>Date</v>
      </c>
      <c r="L42" s="9" t="str">
        <f>D24</f>
        <v>Chevron</v>
      </c>
      <c r="M42" s="5" t="str">
        <f>J24</f>
        <v>Coke</v>
      </c>
    </row>
    <row r="43" spans="2:25" x14ac:dyDescent="0.25">
      <c r="K43" s="100">
        <f t="shared" si="18"/>
        <v>42373</v>
      </c>
      <c r="L43" s="9"/>
      <c r="M43" s="5"/>
    </row>
    <row r="44" spans="2:25" x14ac:dyDescent="0.25">
      <c r="K44" s="100">
        <f t="shared" si="18"/>
        <v>42401</v>
      </c>
      <c r="L44" s="114">
        <f>D26*100</f>
        <v>-4.0067529544175473</v>
      </c>
      <c r="M44" s="122">
        <f>J26*100</f>
        <v>-0.82262210796915092</v>
      </c>
    </row>
    <row r="45" spans="2:25" x14ac:dyDescent="0.25">
      <c r="K45" s="100">
        <f t="shared" si="18"/>
        <v>42430</v>
      </c>
      <c r="L45" s="114">
        <f t="shared" ref="L45:L55" si="19">D27*100</f>
        <v>0.98487513190290699</v>
      </c>
      <c r="M45" s="122">
        <f t="shared" ref="M45:M55" si="20">J27*100</f>
        <v>2.6438569206842732</v>
      </c>
    </row>
    <row r="46" spans="2:25" x14ac:dyDescent="0.25">
      <c r="K46" s="100">
        <f t="shared" si="18"/>
        <v>42461</v>
      </c>
      <c r="L46" s="114">
        <f t="shared" si="19"/>
        <v>9.4392197840473813</v>
      </c>
      <c r="M46" s="122">
        <f t="shared" si="20"/>
        <v>-8.7037037037037024</v>
      </c>
    </row>
    <row r="47" spans="2:25" x14ac:dyDescent="0.25">
      <c r="K47" s="100">
        <f t="shared" si="18"/>
        <v>42492</v>
      </c>
      <c r="L47" s="114">
        <f t="shared" si="19"/>
        <v>9.6011033312115366</v>
      </c>
      <c r="M47" s="122">
        <f t="shared" si="20"/>
        <v>1.0264921015428197</v>
      </c>
    </row>
    <row r="48" spans="2:25" x14ac:dyDescent="0.25">
      <c r="K48" s="100">
        <f t="shared" si="18"/>
        <v>42522</v>
      </c>
      <c r="L48" s="114">
        <f t="shared" si="19"/>
        <v>-2.1101539057206575</v>
      </c>
      <c r="M48" s="122">
        <f t="shared" si="20"/>
        <v>-23.996106108542225</v>
      </c>
    </row>
    <row r="49" spans="2:27" x14ac:dyDescent="0.25">
      <c r="K49" s="100">
        <f t="shared" si="18"/>
        <v>42552</v>
      </c>
      <c r="L49" s="114">
        <f t="shared" si="19"/>
        <v>2.9862553149411664</v>
      </c>
      <c r="M49" s="122">
        <f t="shared" si="20"/>
        <v>15.93019532500799</v>
      </c>
    </row>
    <row r="50" spans="2:27" x14ac:dyDescent="0.25">
      <c r="K50" s="100">
        <f t="shared" si="18"/>
        <v>42583</v>
      </c>
      <c r="L50" s="114">
        <f t="shared" si="19"/>
        <v>-4.8391742678828624</v>
      </c>
      <c r="M50" s="122">
        <f t="shared" si="20"/>
        <v>-0.21405883165308559</v>
      </c>
    </row>
    <row r="51" spans="2:27" x14ac:dyDescent="0.25">
      <c r="K51" s="100">
        <f t="shared" si="18"/>
        <v>42614</v>
      </c>
      <c r="L51" s="114">
        <f t="shared" si="19"/>
        <v>1.1098779134295134</v>
      </c>
      <c r="M51" s="122">
        <f t="shared" si="20"/>
        <v>5.6328281779807643</v>
      </c>
    </row>
    <row r="52" spans="2:27" x14ac:dyDescent="0.25">
      <c r="K52" s="100">
        <f t="shared" si="18"/>
        <v>42646</v>
      </c>
      <c r="L52" s="114">
        <f t="shared" si="19"/>
        <v>2.2353058576988438</v>
      </c>
      <c r="M52" s="122">
        <f t="shared" si="20"/>
        <v>-4.9328529315427421</v>
      </c>
    </row>
    <row r="53" spans="2:27" x14ac:dyDescent="0.25">
      <c r="K53" s="100">
        <f t="shared" si="18"/>
        <v>42675</v>
      </c>
      <c r="L53" s="114">
        <f t="shared" si="19"/>
        <v>3.9336261591019994</v>
      </c>
      <c r="M53" s="122">
        <f t="shared" si="20"/>
        <v>-2.5565049614112545</v>
      </c>
    </row>
    <row r="54" spans="2:27" x14ac:dyDescent="0.25">
      <c r="K54" s="100">
        <f t="shared" si="18"/>
        <v>42705</v>
      </c>
      <c r="L54" s="114">
        <f t="shared" si="19"/>
        <v>6.3955672426746935</v>
      </c>
      <c r="M54" s="122">
        <f t="shared" si="20"/>
        <v>12.446078778021352</v>
      </c>
    </row>
    <row r="55" spans="2:27" ht="15.75" thickBot="1" x14ac:dyDescent="0.3">
      <c r="K55" s="103">
        <f t="shared" si="18"/>
        <v>42734</v>
      </c>
      <c r="L55" s="123">
        <f t="shared" si="19"/>
        <v>3.8926648424397525</v>
      </c>
      <c r="M55" s="124">
        <f t="shared" si="20"/>
        <v>12.477202691654622</v>
      </c>
    </row>
    <row r="56" spans="2:27" ht="15.75" thickTop="1" x14ac:dyDescent="0.25"/>
    <row r="62" spans="2:27" ht="15.75" thickBot="1" x14ac:dyDescent="0.3"/>
    <row r="63" spans="2:27" ht="15.75" thickTop="1" x14ac:dyDescent="0.25">
      <c r="B63" s="267" t="s">
        <v>437</v>
      </c>
      <c r="C63" s="268"/>
      <c r="D63" s="268"/>
      <c r="E63" s="268"/>
      <c r="F63" s="268"/>
      <c r="G63" s="268"/>
      <c r="H63" s="268"/>
      <c r="I63" s="268"/>
      <c r="J63" s="268"/>
      <c r="K63" s="268"/>
      <c r="L63" s="269"/>
    </row>
    <row r="64" spans="2:27" ht="15.75" thickBot="1" x14ac:dyDescent="0.3">
      <c r="B64" s="4" t="str">
        <f>B24</f>
        <v>Date</v>
      </c>
      <c r="C64" s="9" t="str">
        <f t="shared" ref="C64:L64" si="21">C24</f>
        <v>Exxon Mobil</v>
      </c>
      <c r="D64" s="9" t="str">
        <f t="shared" si="21"/>
        <v>Chevron</v>
      </c>
      <c r="E64" s="9" t="str">
        <f t="shared" si="21"/>
        <v>ConocoPhillips</v>
      </c>
      <c r="F64" s="9" t="str">
        <f t="shared" si="21"/>
        <v>BP</v>
      </c>
      <c r="G64" s="9" t="str">
        <f t="shared" si="21"/>
        <v>Caterpillar</v>
      </c>
      <c r="H64" s="9" t="str">
        <f t="shared" si="21"/>
        <v>Cummins</v>
      </c>
      <c r="I64" s="9" t="str">
        <f t="shared" si="21"/>
        <v>Deere</v>
      </c>
      <c r="J64" s="9" t="str">
        <f t="shared" si="21"/>
        <v>Coke</v>
      </c>
      <c r="K64" s="9" t="str">
        <f t="shared" si="21"/>
        <v>Pepsi</v>
      </c>
      <c r="L64" s="5" t="str">
        <f t="shared" si="21"/>
        <v>Kellogg</v>
      </c>
      <c r="Q64" s="270" t="s">
        <v>447</v>
      </c>
      <c r="R64" s="270"/>
      <c r="S64" s="270"/>
      <c r="T64" s="270"/>
      <c r="U64" s="270"/>
      <c r="V64" s="270"/>
      <c r="W64" s="270"/>
      <c r="X64" s="270"/>
      <c r="Y64" s="270"/>
      <c r="Z64" s="270"/>
      <c r="AA64" s="270"/>
    </row>
    <row r="65" spans="2:27" ht="30.75" thickTop="1" x14ac:dyDescent="0.25">
      <c r="B65" s="100">
        <f t="shared" ref="B65:B77" si="22">B25</f>
        <v>42373</v>
      </c>
      <c r="C65" s="106"/>
      <c r="D65" s="106"/>
      <c r="E65" s="106"/>
      <c r="F65" s="106"/>
      <c r="G65" s="106"/>
      <c r="H65" s="106"/>
      <c r="I65" s="106"/>
      <c r="J65" s="106"/>
      <c r="K65" s="106"/>
      <c r="L65" s="108"/>
      <c r="Q65" s="2"/>
      <c r="R65" s="7" t="str">
        <f>C64</f>
        <v>Exxon Mobil</v>
      </c>
      <c r="S65" s="7" t="str">
        <f>D64</f>
        <v>Chevron</v>
      </c>
      <c r="T65" s="12" t="s">
        <v>446</v>
      </c>
      <c r="U65" s="7" t="str">
        <f t="shared" ref="U65:AA65" si="23">F64</f>
        <v>BP</v>
      </c>
      <c r="V65" s="7" t="str">
        <f t="shared" si="23"/>
        <v>Caterpillar</v>
      </c>
      <c r="W65" s="7" t="str">
        <f t="shared" si="23"/>
        <v>Cummins</v>
      </c>
      <c r="X65" s="7" t="str">
        <f t="shared" si="23"/>
        <v>Deere</v>
      </c>
      <c r="Y65" s="7" t="str">
        <f t="shared" si="23"/>
        <v>Coke</v>
      </c>
      <c r="Z65" s="7" t="str">
        <f t="shared" si="23"/>
        <v>Pepsi</v>
      </c>
      <c r="AA65" s="3" t="str">
        <f t="shared" si="23"/>
        <v>Kellogg</v>
      </c>
    </row>
    <row r="66" spans="2:27" x14ac:dyDescent="0.25">
      <c r="B66" s="100">
        <f t="shared" si="22"/>
        <v>42401</v>
      </c>
      <c r="C66" s="114">
        <f>C26*100</f>
        <v>-1.510457010069699</v>
      </c>
      <c r="D66" s="114">
        <f t="shared" ref="D66:L66" si="24">D26*100</f>
        <v>-4.0067529544175473</v>
      </c>
      <c r="E66" s="114">
        <f t="shared" si="24"/>
        <v>-17.662116040955635</v>
      </c>
      <c r="F66" s="114">
        <f t="shared" si="24"/>
        <v>2.0605280103026313</v>
      </c>
      <c r="G66" s="114">
        <f t="shared" si="24"/>
        <v>-7.7805559641123567</v>
      </c>
      <c r="H66" s="114">
        <f t="shared" si="24"/>
        <v>1.3337779259753324</v>
      </c>
      <c r="I66" s="114">
        <f t="shared" si="24"/>
        <v>0.94637223974762819</v>
      </c>
      <c r="J66" s="114">
        <f t="shared" si="24"/>
        <v>-0.82262210796915092</v>
      </c>
      <c r="K66" s="114">
        <f t="shared" si="24"/>
        <v>0.26323782525059514</v>
      </c>
      <c r="L66" s="122">
        <f t="shared" si="24"/>
        <v>2.7649769585253559</v>
      </c>
      <c r="Q66" s="4" t="s">
        <v>364</v>
      </c>
      <c r="R66" s="101">
        <f>CORREL(C$66:C$77,$C$66:$C$77)</f>
        <v>1</v>
      </c>
      <c r="S66" s="101"/>
      <c r="T66" s="101"/>
      <c r="U66" s="101"/>
      <c r="V66" s="101"/>
      <c r="W66" s="101"/>
      <c r="X66" s="101"/>
      <c r="Y66" s="101"/>
      <c r="Z66" s="101"/>
      <c r="AA66" s="102"/>
    </row>
    <row r="67" spans="2:27" x14ac:dyDescent="0.25">
      <c r="B67" s="100">
        <f t="shared" si="22"/>
        <v>42430</v>
      </c>
      <c r="C67" s="114">
        <f t="shared" ref="C67:L77" si="25">C27*100</f>
        <v>6.5408310394547087</v>
      </c>
      <c r="D67" s="114">
        <f t="shared" si="25"/>
        <v>0.98487513190290699</v>
      </c>
      <c r="E67" s="114">
        <f t="shared" si="25"/>
        <v>-10.725388601036268</v>
      </c>
      <c r="F67" s="114">
        <f t="shared" si="25"/>
        <v>-6.5299684542586718</v>
      </c>
      <c r="G67" s="114">
        <f t="shared" si="25"/>
        <v>10.191387559808618</v>
      </c>
      <c r="H67" s="114">
        <f t="shared" si="25"/>
        <v>9.9703849950641743</v>
      </c>
      <c r="I67" s="114">
        <f t="shared" si="25"/>
        <v>5.5338541666666741</v>
      </c>
      <c r="J67" s="114">
        <f t="shared" si="25"/>
        <v>2.6438569206842732</v>
      </c>
      <c r="K67" s="114">
        <f t="shared" si="25"/>
        <v>6.058770069676811E-2</v>
      </c>
      <c r="L67" s="122">
        <f t="shared" si="25"/>
        <v>0.78815056393530813</v>
      </c>
      <c r="Q67" s="4" t="s">
        <v>365</v>
      </c>
      <c r="R67" s="101">
        <f>CORREL(C$66:C$77,$D$66:$D$77)</f>
        <v>0.62580009860842478</v>
      </c>
      <c r="S67" s="101">
        <f>CORREL(D$66:D$77,$D$66:$D$77)</f>
        <v>1.0000000000000002</v>
      </c>
      <c r="T67" s="101"/>
      <c r="U67" s="101"/>
      <c r="V67" s="101"/>
      <c r="W67" s="101"/>
      <c r="X67" s="101"/>
      <c r="Y67" s="101"/>
      <c r="Z67" s="101"/>
      <c r="AA67" s="102"/>
    </row>
    <row r="68" spans="2:27" x14ac:dyDescent="0.25">
      <c r="B68" s="100">
        <f t="shared" si="22"/>
        <v>42461</v>
      </c>
      <c r="C68" s="114">
        <f t="shared" si="25"/>
        <v>2.066929133858264</v>
      </c>
      <c r="D68" s="114">
        <f t="shared" si="25"/>
        <v>9.4392197840473813</v>
      </c>
      <c r="E68" s="114">
        <f t="shared" si="25"/>
        <v>15.438189204875208</v>
      </c>
      <c r="F68" s="114">
        <f t="shared" si="25"/>
        <v>-0.20249746878163721</v>
      </c>
      <c r="G68" s="114">
        <f t="shared" si="25"/>
        <v>11.14488348530902</v>
      </c>
      <c r="H68" s="114">
        <f t="shared" si="25"/>
        <v>9.834430480750056</v>
      </c>
      <c r="I68" s="114">
        <f t="shared" si="25"/>
        <v>-5.6138186304750093</v>
      </c>
      <c r="J68" s="114">
        <f t="shared" si="25"/>
        <v>-8.7037037037037024</v>
      </c>
      <c r="K68" s="114">
        <f t="shared" si="25"/>
        <v>4.7330709456050002</v>
      </c>
      <c r="L68" s="122">
        <f t="shared" si="25"/>
        <v>4.9750573007954602</v>
      </c>
      <c r="Q68" s="4" t="s">
        <v>366</v>
      </c>
      <c r="R68" s="101">
        <f>CORREL(C$66:C$77,$E$66:$E$77)</f>
        <v>0.43696208129927483</v>
      </c>
      <c r="S68" s="101">
        <f>CORREL(D$66:D$77,$E$66:$E$77)</f>
        <v>0.90601008891324908</v>
      </c>
      <c r="T68" s="101">
        <f>CORREL(E$66:E$77,$E$66:$E$77)</f>
        <v>0.99999999999999989</v>
      </c>
      <c r="U68" s="101"/>
      <c r="V68" s="101"/>
      <c r="W68" s="101"/>
      <c r="X68" s="101"/>
      <c r="Y68" s="101"/>
      <c r="Z68" s="101"/>
      <c r="AA68" s="102"/>
    </row>
    <row r="69" spans="2:27" x14ac:dyDescent="0.25">
      <c r="B69" s="100">
        <f t="shared" si="22"/>
        <v>42492</v>
      </c>
      <c r="C69" s="114">
        <f t="shared" si="25"/>
        <v>7.4373191899710811</v>
      </c>
      <c r="D69" s="114">
        <f t="shared" si="25"/>
        <v>9.6011033312115366</v>
      </c>
      <c r="E69" s="114">
        <f t="shared" si="25"/>
        <v>17.772750125691307</v>
      </c>
      <c r="F69" s="114">
        <f t="shared" si="25"/>
        <v>13.69631383158605</v>
      </c>
      <c r="G69" s="114">
        <f t="shared" si="25"/>
        <v>1.3673655423883213</v>
      </c>
      <c r="H69" s="114">
        <f t="shared" si="25"/>
        <v>5.8209226298583383</v>
      </c>
      <c r="I69" s="114">
        <f t="shared" si="25"/>
        <v>10.183006535947726</v>
      </c>
      <c r="J69" s="114">
        <f t="shared" si="25"/>
        <v>1.0264921015428197</v>
      </c>
      <c r="K69" s="114">
        <f t="shared" si="25"/>
        <v>-0.33725187897475362</v>
      </c>
      <c r="L69" s="122">
        <f t="shared" si="25"/>
        <v>-0.5394297456974062</v>
      </c>
      <c r="Q69" s="4" t="s">
        <v>367</v>
      </c>
      <c r="R69" s="101">
        <f>CORREL(C$66:C$77,$F$66:$F$77)</f>
        <v>0.59221222442749932</v>
      </c>
      <c r="S69" s="101">
        <f>CORREL(D$66:D$77,$F$66:$F$77)</f>
        <v>0.52730816264208269</v>
      </c>
      <c r="T69" s="101">
        <f>CORREL(E$66:E$77,$F$66:$F$77)</f>
        <v>0.50349089958411941</v>
      </c>
      <c r="U69" s="101">
        <f>CORREL(F$66:F$77,$F$66:$F$77)</f>
        <v>1.0000000000000002</v>
      </c>
      <c r="V69" s="101"/>
      <c r="W69" s="101"/>
      <c r="X69" s="101"/>
      <c r="Y69" s="101"/>
      <c r="Z69" s="101"/>
      <c r="AA69" s="102"/>
    </row>
    <row r="70" spans="2:27" x14ac:dyDescent="0.25">
      <c r="B70" s="100">
        <f t="shared" si="22"/>
        <v>42522</v>
      </c>
      <c r="C70" s="114">
        <f t="shared" si="25"/>
        <v>0.12341523617187544</v>
      </c>
      <c r="D70" s="114">
        <f t="shared" si="25"/>
        <v>-2.1101539057206575</v>
      </c>
      <c r="E70" s="114">
        <f t="shared" si="25"/>
        <v>-5.9551760939167586</v>
      </c>
      <c r="F70" s="114">
        <f t="shared" si="25"/>
        <v>-6.7816775728732797</v>
      </c>
      <c r="G70" s="114">
        <f t="shared" si="25"/>
        <v>-7.155704008222008</v>
      </c>
      <c r="H70" s="114">
        <f t="shared" si="25"/>
        <v>-2.059555479275732</v>
      </c>
      <c r="I70" s="114">
        <f t="shared" si="25"/>
        <v>-1.7321153161703684</v>
      </c>
      <c r="J70" s="114">
        <f t="shared" si="25"/>
        <v>-23.996106108542225</v>
      </c>
      <c r="K70" s="114">
        <f t="shared" si="25"/>
        <v>-1.7983177027941721</v>
      </c>
      <c r="L70" s="122">
        <f t="shared" si="25"/>
        <v>-3.2799586776859457</v>
      </c>
      <c r="Q70" s="4" t="s">
        <v>368</v>
      </c>
      <c r="R70" s="101">
        <f>CORREL(C$66:C$77,$G$66:$G$77)</f>
        <v>0.29025577160509969</v>
      </c>
      <c r="S70" s="101">
        <f>CORREL(D$66:D$77,$G$66:$G$77)</f>
        <v>0.37011424223565159</v>
      </c>
      <c r="T70" s="101">
        <f>CORREL(E$66:E$77,$G$66:$G$77)</f>
        <v>0.39138233378237591</v>
      </c>
      <c r="U70" s="101">
        <f>CORREL(F$66:F$77,$G$66:$G$77)</f>
        <v>9.2594865370411811E-2</v>
      </c>
      <c r="V70" s="101">
        <f>CORREL(G$66:G$77,$G$66:$G$77)</f>
        <v>0.99999999999999989</v>
      </c>
      <c r="W70" s="101"/>
      <c r="X70" s="101"/>
      <c r="Y70" s="101"/>
      <c r="Z70" s="101"/>
      <c r="AA70" s="102"/>
    </row>
    <row r="71" spans="2:27" x14ac:dyDescent="0.25">
      <c r="B71" s="100">
        <f t="shared" si="22"/>
        <v>42552</v>
      </c>
      <c r="C71" s="114">
        <f t="shared" si="25"/>
        <v>5.1546391752577359</v>
      </c>
      <c r="D71" s="114">
        <f t="shared" si="25"/>
        <v>2.9862553149411664</v>
      </c>
      <c r="E71" s="114">
        <f t="shared" si="25"/>
        <v>-1.248297775760332</v>
      </c>
      <c r="F71" s="114">
        <f t="shared" si="25"/>
        <v>14.869176770899806</v>
      </c>
      <c r="G71" s="114">
        <f t="shared" si="25"/>
        <v>5.7838660578386714</v>
      </c>
      <c r="H71" s="114">
        <f t="shared" si="25"/>
        <v>-1.0601945150267134</v>
      </c>
      <c r="I71" s="114">
        <f t="shared" si="25"/>
        <v>-2.3300736448146675</v>
      </c>
      <c r="J71" s="114">
        <f t="shared" si="25"/>
        <v>15.93019532500799</v>
      </c>
      <c r="K71" s="114">
        <f t="shared" si="25"/>
        <v>3.997243280496221</v>
      </c>
      <c r="L71" s="122">
        <f t="shared" si="25"/>
        <v>8.94526034712948</v>
      </c>
      <c r="Q71" s="4" t="s">
        <v>369</v>
      </c>
      <c r="R71" s="101">
        <f t="shared" ref="R71:W71" si="26">CORREL(C$66:C$77,$H$66:$H$77)</f>
        <v>0.21788759469066404</v>
      </c>
      <c r="S71" s="101">
        <f t="shared" si="26"/>
        <v>0.26121173180944829</v>
      </c>
      <c r="T71" s="101">
        <f t="shared" si="26"/>
        <v>0.26360857007915328</v>
      </c>
      <c r="U71" s="101">
        <f t="shared" si="26"/>
        <v>-0.10975189226608778</v>
      </c>
      <c r="V71" s="101">
        <f t="shared" si="26"/>
        <v>0.83204359703673259</v>
      </c>
      <c r="W71" s="101">
        <f t="shared" si="26"/>
        <v>1</v>
      </c>
      <c r="X71" s="101"/>
      <c r="Y71" s="101"/>
      <c r="Z71" s="101"/>
      <c r="AA71" s="102"/>
    </row>
    <row r="72" spans="2:27" x14ac:dyDescent="0.25">
      <c r="B72" s="100">
        <f t="shared" si="22"/>
        <v>42583</v>
      </c>
      <c r="C72" s="114">
        <f t="shared" si="25"/>
        <v>-8.5038363171355495</v>
      </c>
      <c r="D72" s="114">
        <f t="shared" si="25"/>
        <v>-4.8391742678828624</v>
      </c>
      <c r="E72" s="114">
        <f t="shared" si="25"/>
        <v>-8.963456676626059</v>
      </c>
      <c r="F72" s="114">
        <f t="shared" si="25"/>
        <v>-7.8333333333333366</v>
      </c>
      <c r="G72" s="114">
        <f t="shared" si="25"/>
        <v>7.1942446043165464</v>
      </c>
      <c r="H72" s="114">
        <f t="shared" si="25"/>
        <v>7.8639744952178514</v>
      </c>
      <c r="I72" s="114">
        <f t="shared" si="25"/>
        <v>-3.9678615574783804</v>
      </c>
      <c r="J72" s="114">
        <f t="shared" si="25"/>
        <v>-0.21405883165308559</v>
      </c>
      <c r="K72" s="114">
        <f t="shared" si="25"/>
        <v>3.1241124680488674</v>
      </c>
      <c r="L72" s="122">
        <f t="shared" si="25"/>
        <v>0.94362745098039991</v>
      </c>
      <c r="Q72" s="4" t="s">
        <v>370</v>
      </c>
      <c r="R72" s="101">
        <f t="shared" ref="R72:X72" si="27">CORREL(C$66:C$77,$I$66:$I$77)</f>
        <v>0.45096994175467325</v>
      </c>
      <c r="S72" s="101">
        <f t="shared" si="27"/>
        <v>0.34918070842659799</v>
      </c>
      <c r="T72" s="101">
        <f t="shared" si="27"/>
        <v>0.3252905803059058</v>
      </c>
      <c r="U72" s="101">
        <f t="shared" si="27"/>
        <v>0.2469253620928949</v>
      </c>
      <c r="V72" s="101">
        <f t="shared" si="27"/>
        <v>0.25518349017835262</v>
      </c>
      <c r="W72" s="101">
        <f t="shared" si="27"/>
        <v>0.44149118229335083</v>
      </c>
      <c r="X72" s="101">
        <f t="shared" si="27"/>
        <v>1</v>
      </c>
      <c r="Y72" s="101"/>
      <c r="Z72" s="101"/>
      <c r="AA72" s="102"/>
    </row>
    <row r="73" spans="2:27" x14ac:dyDescent="0.25">
      <c r="B73" s="100">
        <f t="shared" si="22"/>
        <v>42614</v>
      </c>
      <c r="C73" s="114">
        <f t="shared" si="25"/>
        <v>1.1413929652923427</v>
      </c>
      <c r="D73" s="114">
        <f t="shared" si="25"/>
        <v>1.1098779134295134</v>
      </c>
      <c r="E73" s="114">
        <f t="shared" si="25"/>
        <v>2.4993688462509489</v>
      </c>
      <c r="F73" s="114">
        <f t="shared" si="25"/>
        <v>1.4466546112115619</v>
      </c>
      <c r="G73" s="114">
        <f t="shared" si="25"/>
        <v>-0.61012812690665053</v>
      </c>
      <c r="H73" s="114">
        <f t="shared" si="25"/>
        <v>2.9638752052545181</v>
      </c>
      <c r="I73" s="114">
        <f t="shared" si="25"/>
        <v>7.5427983009396238</v>
      </c>
      <c r="J73" s="114">
        <f t="shared" si="25"/>
        <v>5.6328281779807643</v>
      </c>
      <c r="K73" s="114">
        <f t="shared" si="25"/>
        <v>-1.5055540255209721</v>
      </c>
      <c r="L73" s="122">
        <f t="shared" si="25"/>
        <v>-0.8255432803205176</v>
      </c>
      <c r="Q73" s="4" t="s">
        <v>371</v>
      </c>
      <c r="R73" s="101">
        <f t="shared" ref="R73:Y73" si="28">CORREL(C$66:C$77,$J$66:$J$77)</f>
        <v>0.34933698219190706</v>
      </c>
      <c r="S73" s="101">
        <f t="shared" si="28"/>
        <v>0.22403757415502981</v>
      </c>
      <c r="T73" s="101">
        <f t="shared" si="28"/>
        <v>0.11581603302534844</v>
      </c>
      <c r="U73" s="101">
        <f t="shared" si="28"/>
        <v>0.55235003208044198</v>
      </c>
      <c r="V73" s="101">
        <f t="shared" si="28"/>
        <v>0.32060344361774507</v>
      </c>
      <c r="W73" s="101">
        <f t="shared" si="28"/>
        <v>0.15182255049661139</v>
      </c>
      <c r="X73" s="101">
        <f t="shared" si="28"/>
        <v>0.38050435947772593</v>
      </c>
      <c r="Y73" s="101">
        <f t="shared" si="28"/>
        <v>1.0000000000000002</v>
      </c>
      <c r="Z73" s="101"/>
      <c r="AA73" s="102"/>
    </row>
    <row r="74" spans="2:27" x14ac:dyDescent="0.25">
      <c r="B74" s="100">
        <f t="shared" si="22"/>
        <v>42646</v>
      </c>
      <c r="C74" s="114">
        <f t="shared" si="25"/>
        <v>0.24182404421924097</v>
      </c>
      <c r="D74" s="114">
        <f t="shared" si="25"/>
        <v>2.2353058576988438</v>
      </c>
      <c r="E74" s="114">
        <f t="shared" si="25"/>
        <v>6.9704433497536966</v>
      </c>
      <c r="F74" s="114">
        <f t="shared" si="25"/>
        <v>5.3773024361259747</v>
      </c>
      <c r="G74" s="114">
        <f t="shared" si="25"/>
        <v>8.3855125844076071</v>
      </c>
      <c r="H74" s="114">
        <f t="shared" si="25"/>
        <v>1.9535922175265119</v>
      </c>
      <c r="I74" s="114">
        <f t="shared" si="25"/>
        <v>2.1543985637342944</v>
      </c>
      <c r="J74" s="114">
        <f t="shared" si="25"/>
        <v>-4.9328529315427421</v>
      </c>
      <c r="K74" s="114">
        <f t="shared" si="25"/>
        <v>0.89477118091154662</v>
      </c>
      <c r="L74" s="122">
        <f t="shared" si="25"/>
        <v>-5.435181784796173</v>
      </c>
      <c r="Q74" s="4" t="s">
        <v>372</v>
      </c>
      <c r="R74" s="101">
        <f t="shared" ref="R74:Z74" si="29">CORREL(C$66:C$77,$K$66:$K$77)</f>
        <v>-8.5398844539474855E-2</v>
      </c>
      <c r="S74" s="101">
        <f t="shared" si="29"/>
        <v>-2.3132066315127826E-2</v>
      </c>
      <c r="T74" s="101">
        <f t="shared" si="29"/>
        <v>-4.8670046616425391E-2</v>
      </c>
      <c r="U74" s="101">
        <f t="shared" si="29"/>
        <v>0.14793167771205495</v>
      </c>
      <c r="V74" s="101">
        <f t="shared" si="29"/>
        <v>-0.10803122774284189</v>
      </c>
      <c r="W74" s="101">
        <f t="shared" si="29"/>
        <v>-0.37684459637816553</v>
      </c>
      <c r="X74" s="101">
        <f t="shared" si="29"/>
        <v>-0.79614616504157354</v>
      </c>
      <c r="Y74" s="101">
        <f t="shared" si="29"/>
        <v>7.5157069850332769E-2</v>
      </c>
      <c r="Z74" s="101">
        <f t="shared" si="29"/>
        <v>1</v>
      </c>
      <c r="AA74" s="102"/>
    </row>
    <row r="75" spans="2:27" ht="15.75" thickBot="1" x14ac:dyDescent="0.3">
      <c r="B75" s="100">
        <f t="shared" si="22"/>
        <v>42675</v>
      </c>
      <c r="C75" s="114">
        <f t="shared" si="25"/>
        <v>-3.9058012636415729</v>
      </c>
      <c r="D75" s="114">
        <f t="shared" si="25"/>
        <v>3.9336261591019994</v>
      </c>
      <c r="E75" s="114">
        <f t="shared" si="25"/>
        <v>0.25328114206768504</v>
      </c>
      <c r="F75" s="114">
        <f t="shared" si="25"/>
        <v>-3.8342261065689276</v>
      </c>
      <c r="G75" s="114">
        <f t="shared" si="25"/>
        <v>-6.841866787494344</v>
      </c>
      <c r="H75" s="114">
        <f t="shared" si="25"/>
        <v>-4.3563272329109948</v>
      </c>
      <c r="I75" s="114">
        <f t="shared" si="25"/>
        <v>3.2103104862331699</v>
      </c>
      <c r="J75" s="114">
        <f t="shared" si="25"/>
        <v>-2.5565049614112545</v>
      </c>
      <c r="K75" s="114">
        <f t="shared" si="25"/>
        <v>-1.4226327944572792</v>
      </c>
      <c r="L75" s="122">
        <f t="shared" si="25"/>
        <v>-2.6407766990291348</v>
      </c>
      <c r="Q75" s="6" t="s">
        <v>373</v>
      </c>
      <c r="R75" s="104">
        <f t="shared" ref="R75:AA75" si="30">CORREL(C$66:C$77,$L$66:$L$77)</f>
        <v>0.16889496247032859</v>
      </c>
      <c r="S75" s="104">
        <f t="shared" si="30"/>
        <v>2.8494138718728367E-2</v>
      </c>
      <c r="T75" s="104">
        <f t="shared" si="30"/>
        <v>-0.15640275398459461</v>
      </c>
      <c r="U75" s="104">
        <f t="shared" si="30"/>
        <v>0.31663552322894911</v>
      </c>
      <c r="V75" s="104">
        <f t="shared" si="30"/>
        <v>-6.4874127439868923E-2</v>
      </c>
      <c r="W75" s="104">
        <f t="shared" si="30"/>
        <v>-0.20849417968640063</v>
      </c>
      <c r="X75" s="104">
        <f t="shared" si="30"/>
        <v>-0.57325804006119696</v>
      </c>
      <c r="Y75" s="104">
        <f t="shared" si="30"/>
        <v>0.35078480019475267</v>
      </c>
      <c r="Z75" s="104">
        <f t="shared" si="30"/>
        <v>0.76888000596939521</v>
      </c>
      <c r="AA75" s="105">
        <f t="shared" si="30"/>
        <v>1</v>
      </c>
    </row>
    <row r="76" spans="2:27" ht="15.75" thickTop="1" x14ac:dyDescent="0.25">
      <c r="B76" s="100">
        <f t="shared" si="22"/>
        <v>42705</v>
      </c>
      <c r="C76" s="114">
        <f t="shared" si="25"/>
        <v>4.2916915720262905</v>
      </c>
      <c r="D76" s="114">
        <f t="shared" si="25"/>
        <v>6.3955672426746935</v>
      </c>
      <c r="E76" s="114">
        <f t="shared" si="25"/>
        <v>10.748736793752878</v>
      </c>
      <c r="F76" s="114">
        <f t="shared" si="25"/>
        <v>3.7525652301377832</v>
      </c>
      <c r="G76" s="114">
        <f t="shared" si="25"/>
        <v>17.023346303501953</v>
      </c>
      <c r="H76" s="114">
        <f t="shared" si="25"/>
        <v>16.632594652056575</v>
      </c>
      <c r="I76" s="114">
        <f t="shared" si="25"/>
        <v>16.585310477920313</v>
      </c>
      <c r="J76" s="114">
        <f t="shared" si="25"/>
        <v>12.446078778021352</v>
      </c>
      <c r="K76" s="114">
        <f t="shared" si="25"/>
        <v>-7.1970761877987011</v>
      </c>
      <c r="L76" s="122">
        <f t="shared" si="25"/>
        <v>-5.6508443026193289</v>
      </c>
    </row>
    <row r="77" spans="2:27" ht="15.75" thickBot="1" x14ac:dyDescent="0.3">
      <c r="B77" s="103">
        <f t="shared" si="22"/>
        <v>42734</v>
      </c>
      <c r="C77" s="123">
        <f t="shared" si="25"/>
        <v>3.4617148097203287</v>
      </c>
      <c r="D77" s="123">
        <f t="shared" si="25"/>
        <v>3.8926648424397525</v>
      </c>
      <c r="E77" s="123">
        <f t="shared" si="25"/>
        <v>3.9817503110742392</v>
      </c>
      <c r="F77" s="123">
        <f t="shared" si="25"/>
        <v>5.6230573608363921</v>
      </c>
      <c r="G77" s="123">
        <f t="shared" si="25"/>
        <v>-3.6367414796342534</v>
      </c>
      <c r="H77" s="123">
        <f t="shared" si="25"/>
        <v>-4.178644044030011</v>
      </c>
      <c r="I77" s="123">
        <f t="shared" si="25"/>
        <v>0.33106134371958529</v>
      </c>
      <c r="J77" s="123">
        <f t="shared" si="25"/>
        <v>12.477202691654622</v>
      </c>
      <c r="K77" s="123">
        <f t="shared" si="25"/>
        <v>5.6548520650308021</v>
      </c>
      <c r="L77" s="124">
        <f t="shared" si="25"/>
        <v>3.8754227733934554</v>
      </c>
    </row>
    <row r="78" spans="2:27" ht="15.75" thickTop="1" x14ac:dyDescent="0.25"/>
  </sheetData>
  <mergeCells count="7">
    <mergeCell ref="A1:N1"/>
    <mergeCell ref="B63:L63"/>
    <mergeCell ref="Q64:AA64"/>
    <mergeCell ref="B4:L4"/>
    <mergeCell ref="B23:D23"/>
    <mergeCell ref="Q23:R23"/>
    <mergeCell ref="K41:M41"/>
  </mergeCells>
  <conditionalFormatting sqref="Q65:AA75">
    <cfRule type="colorScale" priority="1">
      <colorScale>
        <cfvo type="min"/>
        <cfvo type="percentile" val="50"/>
        <cfvo type="max"/>
        <color theme="9"/>
        <color rgb="FFFFEB84"/>
        <color theme="3" tint="0.59999389629810485"/>
      </colorScale>
    </cfRule>
  </conditionalFormatting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0"/>
  <sheetViews>
    <sheetView showGridLines="0" zoomScale="50" zoomScaleNormal="50" workbookViewId="0">
      <selection activeCell="A2" sqref="A2"/>
    </sheetView>
  </sheetViews>
  <sheetFormatPr defaultRowHeight="15" x14ac:dyDescent="0.25"/>
  <cols>
    <col min="4" max="4" width="9.7109375" bestFit="1" customWidth="1"/>
    <col min="6" max="6" width="28" bestFit="1" customWidth="1"/>
    <col min="7" max="7" width="19.7109375" customWidth="1"/>
    <col min="19" max="21" width="18.5703125" customWidth="1"/>
    <col min="23" max="32" width="11" customWidth="1"/>
    <col min="36" max="37" width="9.140625" style="34"/>
    <col min="41" max="41" width="15.85546875" bestFit="1" customWidth="1"/>
  </cols>
  <sheetData>
    <row r="1" spans="1:41" x14ac:dyDescent="0.25">
      <c r="A1" s="264" t="s">
        <v>610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3" spans="1:41" x14ac:dyDescent="0.25">
      <c r="B3" s="58"/>
      <c r="R3" t="s">
        <v>422</v>
      </c>
      <c r="S3" s="19">
        <f>_xlfn.STDEV.S(S10:S210)</f>
        <v>15.008333618444185</v>
      </c>
      <c r="T3" s="19">
        <f>_xlfn.STDEV.S(T10:T210)</f>
        <v>5.4633881112701426</v>
      </c>
      <c r="U3" s="19"/>
      <c r="V3" s="19">
        <f>T3</f>
        <v>5.4633881112701426</v>
      </c>
      <c r="W3" s="19">
        <f>_xlfn.STDEV.S(W10:W210)</f>
        <v>5.0583733944825129</v>
      </c>
      <c r="X3" s="19">
        <f t="shared" ref="X3:AE3" si="0">_xlfn.STDEV.S(X10:X210)</f>
        <v>5.1589651035540163</v>
      </c>
      <c r="Y3" s="19">
        <f t="shared" si="0"/>
        <v>5.7386364477466376</v>
      </c>
      <c r="Z3" s="19">
        <f t="shared" si="0"/>
        <v>6.6736963833518361</v>
      </c>
      <c r="AA3" s="19">
        <f t="shared" si="0"/>
        <v>7.8379682541433784</v>
      </c>
      <c r="AB3" s="19">
        <f t="shared" si="0"/>
        <v>9.1443161082059383</v>
      </c>
      <c r="AC3" s="19">
        <f t="shared" si="0"/>
        <v>10.540044384093839</v>
      </c>
      <c r="AD3" s="19">
        <f t="shared" si="0"/>
        <v>11.993990242975041</v>
      </c>
      <c r="AE3" s="19">
        <f t="shared" si="0"/>
        <v>13.487339102896911</v>
      </c>
      <c r="AF3" s="19">
        <f>S3</f>
        <v>15.008333618444185</v>
      </c>
    </row>
    <row r="4" spans="1:41" x14ac:dyDescent="0.25">
      <c r="R4" t="s">
        <v>411</v>
      </c>
      <c r="S4" s="19">
        <f>AVERAGE(S10:S210)</f>
        <v>11.637729915113143</v>
      </c>
      <c r="T4" s="19">
        <f>AVERAGE(T10:T210)</f>
        <v>7.8648456311861574</v>
      </c>
      <c r="U4" s="19"/>
      <c r="V4" s="19">
        <f>T4</f>
        <v>7.8648456311861574</v>
      </c>
      <c r="W4" s="19">
        <f>AVERAGE(W10:W210)</f>
        <v>8.2421340595788539</v>
      </c>
      <c r="X4" s="19">
        <f t="shared" ref="X4:AE4" si="1">AVERAGE(X10:X210)</f>
        <v>8.6194224879715513</v>
      </c>
      <c r="Y4" s="19">
        <f t="shared" si="1"/>
        <v>8.9967109163642593</v>
      </c>
      <c r="Z4" s="19">
        <f t="shared" si="1"/>
        <v>9.3739993447569532</v>
      </c>
      <c r="AA4" s="19">
        <f t="shared" si="1"/>
        <v>9.7512877731496506</v>
      </c>
      <c r="AB4" s="19">
        <f t="shared" si="1"/>
        <v>10.128576201542337</v>
      </c>
      <c r="AC4" s="19">
        <f t="shared" si="1"/>
        <v>10.505864629935047</v>
      </c>
      <c r="AD4" s="19">
        <f t="shared" si="1"/>
        <v>10.883153058327746</v>
      </c>
      <c r="AE4" s="19">
        <f t="shared" si="1"/>
        <v>11.260441486720444</v>
      </c>
      <c r="AF4" s="19">
        <f>S4</f>
        <v>11.637729915113143</v>
      </c>
      <c r="AG4" s="19"/>
    </row>
    <row r="5" spans="1:41" x14ac:dyDescent="0.25">
      <c r="C5" t="s">
        <v>416</v>
      </c>
      <c r="D5" s="67">
        <v>27760</v>
      </c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41" x14ac:dyDescent="0.25">
      <c r="C6" t="s">
        <v>417</v>
      </c>
      <c r="D6" s="67">
        <v>42063</v>
      </c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41" x14ac:dyDescent="0.25">
      <c r="C7" t="s">
        <v>418</v>
      </c>
      <c r="S7" s="19"/>
      <c r="T7" s="19"/>
      <c r="U7" s="19"/>
      <c r="V7" s="19" t="s">
        <v>434</v>
      </c>
      <c r="W7" s="19">
        <v>0.1</v>
      </c>
      <c r="X7" s="19">
        <f>W7+0.1</f>
        <v>0.2</v>
      </c>
      <c r="Y7" s="19">
        <f t="shared" ref="Y7:AE7" si="2">X7+0.1</f>
        <v>0.30000000000000004</v>
      </c>
      <c r="Z7" s="19">
        <f t="shared" si="2"/>
        <v>0.4</v>
      </c>
      <c r="AA7" s="19">
        <f t="shared" si="2"/>
        <v>0.5</v>
      </c>
      <c r="AB7" s="19">
        <f t="shared" si="2"/>
        <v>0.6</v>
      </c>
      <c r="AC7" s="19">
        <f t="shared" si="2"/>
        <v>0.7</v>
      </c>
      <c r="AD7" s="19">
        <f t="shared" si="2"/>
        <v>0.79999999999999993</v>
      </c>
      <c r="AE7" s="19">
        <f t="shared" si="2"/>
        <v>0.89999999999999991</v>
      </c>
      <c r="AF7" s="19"/>
      <c r="AG7" s="19"/>
    </row>
    <row r="8" spans="1:41" x14ac:dyDescent="0.25">
      <c r="C8" t="s">
        <v>419</v>
      </c>
      <c r="V8" t="s">
        <v>435</v>
      </c>
      <c r="W8" s="19">
        <f>1-W7</f>
        <v>0.9</v>
      </c>
      <c r="X8" s="19">
        <f>1-X7</f>
        <v>0.8</v>
      </c>
      <c r="Y8" s="19">
        <f t="shared" ref="Y8:AE8" si="3">1-Y7</f>
        <v>0.7</v>
      </c>
      <c r="Z8" s="19">
        <f t="shared" si="3"/>
        <v>0.6</v>
      </c>
      <c r="AA8" s="19">
        <f t="shared" si="3"/>
        <v>0.5</v>
      </c>
      <c r="AB8" s="19">
        <f t="shared" si="3"/>
        <v>0.4</v>
      </c>
      <c r="AC8" s="19">
        <f t="shared" si="3"/>
        <v>0.30000000000000004</v>
      </c>
      <c r="AD8" s="19">
        <f t="shared" si="3"/>
        <v>0.20000000000000007</v>
      </c>
      <c r="AE8" s="19">
        <f t="shared" si="3"/>
        <v>0.10000000000000009</v>
      </c>
    </row>
    <row r="9" spans="1:41" ht="105" x14ac:dyDescent="0.25">
      <c r="S9" s="57" t="s">
        <v>421</v>
      </c>
      <c r="T9" s="57" t="s">
        <v>420</v>
      </c>
      <c r="U9" s="57"/>
      <c r="W9" s="63" t="s">
        <v>425</v>
      </c>
      <c r="X9" s="63" t="s">
        <v>426</v>
      </c>
      <c r="Y9" s="63" t="s">
        <v>427</v>
      </c>
      <c r="Z9" s="63" t="s">
        <v>428</v>
      </c>
      <c r="AA9" s="63" t="s">
        <v>429</v>
      </c>
      <c r="AB9" s="63" t="s">
        <v>430</v>
      </c>
      <c r="AC9" s="63" t="s">
        <v>431</v>
      </c>
      <c r="AD9" s="63" t="s">
        <v>432</v>
      </c>
      <c r="AE9" s="63" t="s">
        <v>433</v>
      </c>
      <c r="AH9" t="s">
        <v>424</v>
      </c>
      <c r="AI9" t="s">
        <v>424</v>
      </c>
      <c r="AJ9" s="34" t="s">
        <v>423</v>
      </c>
      <c r="AK9" s="34" t="s">
        <v>423</v>
      </c>
      <c r="AN9" s="33" t="s">
        <v>413</v>
      </c>
      <c r="AO9" s="91" t="s">
        <v>414</v>
      </c>
    </row>
    <row r="10" spans="1:41" x14ac:dyDescent="0.25">
      <c r="S10" s="47">
        <f>9.64+15.16*AH10</f>
        <v>2.3357644237666531</v>
      </c>
      <c r="T10" s="47">
        <f>7.89+5.39*AI10</f>
        <v>9.4136610676302865</v>
      </c>
      <c r="U10" s="47"/>
      <c r="V10" s="47"/>
      <c r="W10" s="47">
        <f>$S10*W$7+$T10*W$8</f>
        <v>8.7058714032439219</v>
      </c>
      <c r="X10" s="47">
        <f t="shared" ref="X10:AE25" si="4">$S10*X$7+$T10*X$8</f>
        <v>7.99808173885756</v>
      </c>
      <c r="Y10" s="47">
        <f t="shared" si="4"/>
        <v>7.2902920744711963</v>
      </c>
      <c r="Z10" s="47">
        <f t="shared" si="4"/>
        <v>6.5825024100848326</v>
      </c>
      <c r="AA10" s="47">
        <f t="shared" si="4"/>
        <v>5.8747127456984698</v>
      </c>
      <c r="AB10" s="47">
        <f t="shared" si="4"/>
        <v>5.1669230813121061</v>
      </c>
      <c r="AC10" s="47">
        <f t="shared" si="4"/>
        <v>4.4591334169257433</v>
      </c>
      <c r="AD10" s="47">
        <f t="shared" si="4"/>
        <v>3.7513437525393805</v>
      </c>
      <c r="AE10" s="47">
        <f t="shared" si="4"/>
        <v>3.0435540881530172</v>
      </c>
      <c r="AH10">
        <f>_xlfn.NORM.S.INV(AJ10)</f>
        <v>-0.48180973458003612</v>
      </c>
      <c r="AI10">
        <f>_xlfn.NORM.S.INV(AK10)</f>
        <v>0.28268294390172305</v>
      </c>
      <c r="AJ10" s="34">
        <v>0.31497055673559049</v>
      </c>
      <c r="AK10" s="34">
        <v>0.61129005400292347</v>
      </c>
      <c r="AM10" t="s">
        <v>412</v>
      </c>
      <c r="AN10" s="91">
        <v>15.01</v>
      </c>
      <c r="AO10" s="91">
        <v>11.64</v>
      </c>
    </row>
    <row r="11" spans="1:41" x14ac:dyDescent="0.25">
      <c r="S11" s="47">
        <f t="shared" ref="S11:S74" si="5">9.64+15.16*AH11</f>
        <v>6.1921869005648151</v>
      </c>
      <c r="T11" s="47">
        <f t="shared" ref="T11:T74" si="6">7.89+5.39*AI11</f>
        <v>3.326137236814831</v>
      </c>
      <c r="U11" s="47"/>
      <c r="V11" s="47"/>
      <c r="W11" s="47">
        <f t="shared" ref="W11:AE42" si="7">$S11*W$7+$T11*W$8</f>
        <v>3.6127422031898293</v>
      </c>
      <c r="X11" s="47">
        <f t="shared" si="4"/>
        <v>3.8993471695648281</v>
      </c>
      <c r="Y11" s="47">
        <f t="shared" si="4"/>
        <v>4.1859521359398268</v>
      </c>
      <c r="Z11" s="47">
        <f t="shared" si="4"/>
        <v>4.4725571023148252</v>
      </c>
      <c r="AA11" s="47">
        <f t="shared" si="4"/>
        <v>4.7591620686898235</v>
      </c>
      <c r="AB11" s="47">
        <f t="shared" si="4"/>
        <v>5.0457670350648218</v>
      </c>
      <c r="AC11" s="47">
        <f t="shared" si="4"/>
        <v>5.3323720014398202</v>
      </c>
      <c r="AD11" s="47">
        <f t="shared" si="4"/>
        <v>5.6189769678148185</v>
      </c>
      <c r="AE11" s="47">
        <f t="shared" si="4"/>
        <v>5.9055819341898159</v>
      </c>
      <c r="AH11">
        <f t="shared" ref="AH11:AH74" si="8">_xlfn.NORM.S.INV(AJ11)</f>
        <v>-0.22742830471208347</v>
      </c>
      <c r="AI11">
        <f t="shared" ref="AI11:AI74" si="9">_xlfn.NORM.S.INV(AK11)</f>
        <v>-0.84672778537758242</v>
      </c>
      <c r="AJ11" s="34">
        <v>0.41004535644809148</v>
      </c>
      <c r="AK11" s="34">
        <v>0.1985734338880456</v>
      </c>
      <c r="AM11" t="s">
        <v>415</v>
      </c>
      <c r="AN11" s="91">
        <v>5.46</v>
      </c>
      <c r="AO11" s="91">
        <v>7.86</v>
      </c>
    </row>
    <row r="12" spans="1:41" x14ac:dyDescent="0.25">
      <c r="S12" s="47">
        <f t="shared" si="5"/>
        <v>38.630502838264185</v>
      </c>
      <c r="T12" s="47">
        <f t="shared" si="6"/>
        <v>4.0055353483071006</v>
      </c>
      <c r="U12" s="47"/>
      <c r="V12" s="47"/>
      <c r="W12" s="47">
        <f t="shared" si="7"/>
        <v>7.4680320973028094</v>
      </c>
      <c r="X12" s="47">
        <f t="shared" si="4"/>
        <v>10.930528846298518</v>
      </c>
      <c r="Y12" s="47">
        <f t="shared" si="4"/>
        <v>14.393025595294226</v>
      </c>
      <c r="Z12" s="47">
        <f t="shared" si="4"/>
        <v>17.855522344289934</v>
      </c>
      <c r="AA12" s="47">
        <f t="shared" si="4"/>
        <v>21.318019093285642</v>
      </c>
      <c r="AB12" s="47">
        <f t="shared" si="4"/>
        <v>24.78051584228135</v>
      </c>
      <c r="AC12" s="47">
        <f t="shared" si="4"/>
        <v>28.243012591277058</v>
      </c>
      <c r="AD12" s="47">
        <f t="shared" si="4"/>
        <v>31.705509340272766</v>
      </c>
      <c r="AE12" s="47">
        <f t="shared" si="4"/>
        <v>35.168006089268474</v>
      </c>
      <c r="AH12">
        <f t="shared" si="8"/>
        <v>1.9123022980385345</v>
      </c>
      <c r="AI12">
        <f t="shared" si="9"/>
        <v>-0.72067989827326517</v>
      </c>
      <c r="AJ12" s="34">
        <v>0.97208128437420882</v>
      </c>
      <c r="AK12" s="34">
        <v>0.23555324147741719</v>
      </c>
    </row>
    <row r="13" spans="1:41" x14ac:dyDescent="0.25">
      <c r="F13" s="91"/>
      <c r="G13" s="91"/>
      <c r="S13" s="47">
        <f t="shared" si="5"/>
        <v>9.24080613113785</v>
      </c>
      <c r="T13" s="47">
        <f t="shared" si="6"/>
        <v>2.3427136305179399</v>
      </c>
      <c r="U13" s="47"/>
      <c r="V13" s="47"/>
      <c r="W13" s="47">
        <f t="shared" si="7"/>
        <v>3.0325228805799309</v>
      </c>
      <c r="X13" s="47">
        <f t="shared" si="4"/>
        <v>3.7223321306419219</v>
      </c>
      <c r="Y13" s="47">
        <f t="shared" si="4"/>
        <v>4.4121413807039129</v>
      </c>
      <c r="Z13" s="47">
        <f t="shared" si="4"/>
        <v>5.1019506307659039</v>
      </c>
      <c r="AA13" s="47">
        <f t="shared" si="4"/>
        <v>5.7917598808278949</v>
      </c>
      <c r="AB13" s="47">
        <f t="shared" si="4"/>
        <v>6.481569130889886</v>
      </c>
      <c r="AC13" s="47">
        <f t="shared" si="4"/>
        <v>7.1713783809518761</v>
      </c>
      <c r="AD13" s="47">
        <f t="shared" si="4"/>
        <v>7.861187631013868</v>
      </c>
      <c r="AE13" s="47">
        <f t="shared" si="4"/>
        <v>8.550996881075859</v>
      </c>
      <c r="AH13">
        <f t="shared" si="8"/>
        <v>-2.633204939723954E-2</v>
      </c>
      <c r="AI13">
        <f t="shared" si="9"/>
        <v>-1.0291811446163377</v>
      </c>
      <c r="AJ13" s="34">
        <v>0.4894962460231117</v>
      </c>
      <c r="AK13" s="34">
        <v>0.15169728047017039</v>
      </c>
    </row>
    <row r="14" spans="1:41" x14ac:dyDescent="0.25">
      <c r="F14" s="91"/>
      <c r="G14" s="91"/>
      <c r="S14" s="47">
        <f t="shared" si="5"/>
        <v>12.22516683990464</v>
      </c>
      <c r="T14" s="47">
        <f t="shared" si="6"/>
        <v>0.20136034557792826</v>
      </c>
      <c r="U14" s="47"/>
      <c r="V14" s="47"/>
      <c r="W14" s="47">
        <f t="shared" si="7"/>
        <v>1.4037409950105995</v>
      </c>
      <c r="X14" s="47">
        <f t="shared" si="4"/>
        <v>2.6061216444432707</v>
      </c>
      <c r="Y14" s="47">
        <f t="shared" si="4"/>
        <v>3.8085022938759421</v>
      </c>
      <c r="Z14" s="47">
        <f t="shared" si="4"/>
        <v>5.0108829433086131</v>
      </c>
      <c r="AA14" s="47">
        <f t="shared" si="4"/>
        <v>6.213263592741284</v>
      </c>
      <c r="AB14" s="47">
        <f t="shared" si="4"/>
        <v>7.415644242173955</v>
      </c>
      <c r="AC14" s="47">
        <f t="shared" si="4"/>
        <v>8.6180248916066251</v>
      </c>
      <c r="AD14" s="47">
        <f t="shared" si="4"/>
        <v>9.8204055410392979</v>
      </c>
      <c r="AE14" s="47">
        <f t="shared" si="4"/>
        <v>11.022786190471967</v>
      </c>
      <c r="AH14">
        <f t="shared" si="8"/>
        <v>0.17052551714410549</v>
      </c>
      <c r="AI14">
        <f t="shared" si="9"/>
        <v>-1.4264637577777499</v>
      </c>
      <c r="AJ14" s="34">
        <v>0.5677015657688369</v>
      </c>
      <c r="AK14" s="34">
        <v>7.6867260577176522E-2</v>
      </c>
    </row>
    <row r="15" spans="1:41" x14ac:dyDescent="0.25">
      <c r="F15" s="91"/>
      <c r="G15" s="91"/>
      <c r="S15" s="47">
        <f t="shared" si="5"/>
        <v>36.479433227092429</v>
      </c>
      <c r="T15" s="47">
        <f t="shared" si="6"/>
        <v>6.2250144644307497</v>
      </c>
      <c r="U15" s="47"/>
      <c r="V15" s="47"/>
      <c r="W15" s="47">
        <f t="shared" si="7"/>
        <v>9.2504563406969176</v>
      </c>
      <c r="X15" s="47">
        <f t="shared" si="4"/>
        <v>12.275898216963085</v>
      </c>
      <c r="Y15" s="47">
        <f t="shared" si="4"/>
        <v>15.301340093229253</v>
      </c>
      <c r="Z15" s="47">
        <f t="shared" si="4"/>
        <v>18.326781969495421</v>
      </c>
      <c r="AA15" s="47">
        <f t="shared" si="4"/>
        <v>21.352223845761589</v>
      </c>
      <c r="AB15" s="47">
        <f t="shared" si="4"/>
        <v>24.377665722027757</v>
      </c>
      <c r="AC15" s="47">
        <f t="shared" si="4"/>
        <v>27.403107598293925</v>
      </c>
      <c r="AD15" s="47">
        <f t="shared" si="4"/>
        <v>30.428549474560093</v>
      </c>
      <c r="AE15" s="47">
        <f t="shared" si="4"/>
        <v>33.453991350826257</v>
      </c>
      <c r="AH15">
        <f t="shared" si="8"/>
        <v>1.7704111627369676</v>
      </c>
      <c r="AI15">
        <f t="shared" si="9"/>
        <v>-0.30890269676609472</v>
      </c>
      <c r="AJ15" s="34">
        <v>0.96167066423175174</v>
      </c>
      <c r="AK15" s="34">
        <v>0.37869777267318927</v>
      </c>
    </row>
    <row r="16" spans="1:41" ht="30" x14ac:dyDescent="0.25">
      <c r="F16" s="33" t="s">
        <v>413</v>
      </c>
      <c r="G16" s="91" t="s">
        <v>414</v>
      </c>
      <c r="S16" s="47">
        <f t="shared" si="5"/>
        <v>-2.597591254706094</v>
      </c>
      <c r="T16" s="47">
        <f t="shared" si="6"/>
        <v>11.111475714002541</v>
      </c>
      <c r="U16" s="47"/>
      <c r="V16" s="47"/>
      <c r="W16" s="47">
        <f t="shared" si="7"/>
        <v>9.7405690171316781</v>
      </c>
      <c r="X16" s="47">
        <f t="shared" si="4"/>
        <v>8.3696623202608134</v>
      </c>
      <c r="Y16" s="47">
        <f t="shared" si="4"/>
        <v>6.9987556233899495</v>
      </c>
      <c r="Z16" s="47">
        <f t="shared" si="4"/>
        <v>5.6278489265190874</v>
      </c>
      <c r="AA16" s="47">
        <f t="shared" si="4"/>
        <v>4.2569422296482236</v>
      </c>
      <c r="AB16" s="47">
        <f t="shared" si="4"/>
        <v>2.8860355327773601</v>
      </c>
      <c r="AC16" s="47">
        <f t="shared" si="4"/>
        <v>1.5151288359064972</v>
      </c>
      <c r="AD16" s="47">
        <f t="shared" si="4"/>
        <v>0.14422213903563419</v>
      </c>
      <c r="AE16" s="47">
        <f t="shared" si="4"/>
        <v>-1.2266845578352292</v>
      </c>
      <c r="AH16">
        <f t="shared" si="8"/>
        <v>-0.80722897458483467</v>
      </c>
      <c r="AI16">
        <f t="shared" si="9"/>
        <v>0.59767638478711327</v>
      </c>
      <c r="AJ16" s="34">
        <v>0.20976728770406328</v>
      </c>
      <c r="AK16" s="34">
        <v>0.72497205719725244</v>
      </c>
    </row>
    <row r="17" spans="5:37" x14ac:dyDescent="0.25">
      <c r="E17" t="s">
        <v>412</v>
      </c>
      <c r="F17" s="91">
        <v>15.01</v>
      </c>
      <c r="G17" s="91">
        <v>11.64</v>
      </c>
      <c r="S17" s="47">
        <f t="shared" si="5"/>
        <v>16.475613438289507</v>
      </c>
      <c r="T17" s="47">
        <f t="shared" si="6"/>
        <v>6.6944849254672159</v>
      </c>
      <c r="U17" s="47"/>
      <c r="V17" s="47"/>
      <c r="W17" s="47">
        <f t="shared" si="7"/>
        <v>7.6725977767494449</v>
      </c>
      <c r="X17" s="47">
        <f t="shared" si="4"/>
        <v>8.6507106280316748</v>
      </c>
      <c r="Y17" s="47">
        <f t="shared" si="4"/>
        <v>9.6288234793139047</v>
      </c>
      <c r="Z17" s="47">
        <f t="shared" si="4"/>
        <v>10.606936330596131</v>
      </c>
      <c r="AA17" s="47">
        <f t="shared" si="4"/>
        <v>11.585049181878361</v>
      </c>
      <c r="AB17" s="47">
        <f t="shared" si="4"/>
        <v>12.563162033160591</v>
      </c>
      <c r="AC17" s="47">
        <f t="shared" si="4"/>
        <v>13.541274884442821</v>
      </c>
      <c r="AD17" s="47">
        <f t="shared" si="4"/>
        <v>14.519387735725047</v>
      </c>
      <c r="AE17" s="47">
        <f t="shared" si="4"/>
        <v>15.497500587007277</v>
      </c>
      <c r="AH17">
        <f t="shared" si="8"/>
        <v>0.45089798405603593</v>
      </c>
      <c r="AI17">
        <f t="shared" si="9"/>
        <v>-0.22180242570181519</v>
      </c>
      <c r="AJ17" s="34">
        <v>0.67396846172944069</v>
      </c>
      <c r="AK17" s="34">
        <v>0.41223384552781206</v>
      </c>
    </row>
    <row r="18" spans="5:37" x14ac:dyDescent="0.25">
      <c r="E18" t="s">
        <v>415</v>
      </c>
      <c r="F18" s="91">
        <v>5.46</v>
      </c>
      <c r="G18" s="91">
        <v>7.86</v>
      </c>
      <c r="S18" s="47">
        <f t="shared" si="5"/>
        <v>22.193576268585161</v>
      </c>
      <c r="T18" s="47">
        <f t="shared" si="6"/>
        <v>1.7098112720834093</v>
      </c>
      <c r="U18" s="47"/>
      <c r="V18" s="47"/>
      <c r="W18" s="47">
        <f t="shared" si="7"/>
        <v>3.758187771733585</v>
      </c>
      <c r="X18" s="47">
        <f t="shared" si="4"/>
        <v>5.8065642713837597</v>
      </c>
      <c r="Y18" s="47">
        <f t="shared" si="4"/>
        <v>7.8549407710339354</v>
      </c>
      <c r="Z18" s="47">
        <f t="shared" si="4"/>
        <v>9.9033172706841111</v>
      </c>
      <c r="AA18" s="47">
        <f t="shared" si="4"/>
        <v>11.951693770334286</v>
      </c>
      <c r="AB18" s="47">
        <f t="shared" si="4"/>
        <v>14.000070269984461</v>
      </c>
      <c r="AC18" s="47">
        <f t="shared" si="4"/>
        <v>16.048446769634634</v>
      </c>
      <c r="AD18" s="47">
        <f t="shared" si="4"/>
        <v>18.096823269284808</v>
      </c>
      <c r="AE18" s="47">
        <f t="shared" si="4"/>
        <v>20.145199768934987</v>
      </c>
      <c r="AH18">
        <f t="shared" si="8"/>
        <v>0.82807231323121111</v>
      </c>
      <c r="AI18">
        <f t="shared" si="9"/>
        <v>-1.1466027324520576</v>
      </c>
      <c r="AJ18" s="34">
        <v>0.79618522591288865</v>
      </c>
      <c r="AK18" s="34">
        <v>0.12577292333068268</v>
      </c>
    </row>
    <row r="19" spans="5:37" x14ac:dyDescent="0.25">
      <c r="F19" s="91"/>
      <c r="G19" s="91"/>
      <c r="S19" s="47">
        <f t="shared" si="5"/>
        <v>11.697530911563794</v>
      </c>
      <c r="T19" s="47">
        <f t="shared" si="6"/>
        <v>14.087039242763922</v>
      </c>
      <c r="U19" s="47"/>
      <c r="V19" s="47"/>
      <c r="W19" s="47">
        <f t="shared" si="7"/>
        <v>13.848088409643911</v>
      </c>
      <c r="X19" s="47">
        <f t="shared" si="4"/>
        <v>13.609137576523898</v>
      </c>
      <c r="Y19" s="47">
        <f t="shared" si="4"/>
        <v>13.370186743403883</v>
      </c>
      <c r="Z19" s="47">
        <f t="shared" si="4"/>
        <v>13.13123591028387</v>
      </c>
      <c r="AA19" s="47">
        <f t="shared" si="4"/>
        <v>12.892285077163859</v>
      </c>
      <c r="AB19" s="47">
        <f t="shared" si="4"/>
        <v>12.653334244043846</v>
      </c>
      <c r="AC19" s="47">
        <f t="shared" si="4"/>
        <v>12.414383410923833</v>
      </c>
      <c r="AD19" s="47">
        <f t="shared" si="4"/>
        <v>12.17543257780382</v>
      </c>
      <c r="AE19" s="47">
        <f t="shared" si="4"/>
        <v>11.936481744683807</v>
      </c>
      <c r="AH19">
        <f t="shared" si="8"/>
        <v>0.13572103638283595</v>
      </c>
      <c r="AI19">
        <f t="shared" si="9"/>
        <v>1.1497289875257743</v>
      </c>
      <c r="AJ19" s="34">
        <v>0.55397909151479374</v>
      </c>
      <c r="AK19" s="34">
        <v>0.87487224436771505</v>
      </c>
    </row>
    <row r="20" spans="5:37" x14ac:dyDescent="0.25">
      <c r="S20" s="47">
        <f t="shared" si="5"/>
        <v>13.738992555948181</v>
      </c>
      <c r="T20" s="47">
        <f t="shared" si="6"/>
        <v>9.2181732483035574</v>
      </c>
      <c r="U20" s="47"/>
      <c r="V20" s="47"/>
      <c r="W20" s="47">
        <f t="shared" si="7"/>
        <v>9.67025517906802</v>
      </c>
      <c r="X20" s="47">
        <f t="shared" si="4"/>
        <v>10.122337109832483</v>
      </c>
      <c r="Y20" s="47">
        <f t="shared" si="4"/>
        <v>10.574419040596943</v>
      </c>
      <c r="Z20" s="47">
        <f t="shared" si="4"/>
        <v>11.026500971361408</v>
      </c>
      <c r="AA20" s="47">
        <f t="shared" si="4"/>
        <v>11.478582902125869</v>
      </c>
      <c r="AB20" s="47">
        <f t="shared" si="4"/>
        <v>11.930664832890331</v>
      </c>
      <c r="AC20" s="47">
        <f t="shared" si="4"/>
        <v>12.382746763654794</v>
      </c>
      <c r="AD20" s="47">
        <f t="shared" si="4"/>
        <v>12.834828694419256</v>
      </c>
      <c r="AE20" s="47">
        <f t="shared" si="4"/>
        <v>13.286910625183719</v>
      </c>
      <c r="AH20">
        <f t="shared" si="8"/>
        <v>0.270382094719537</v>
      </c>
      <c r="AI20">
        <f t="shared" si="9"/>
        <v>0.24641433178173608</v>
      </c>
      <c r="AJ20" s="34">
        <v>0.60656684318489662</v>
      </c>
      <c r="AK20" s="34">
        <v>0.59731924346791931</v>
      </c>
    </row>
    <row r="21" spans="5:37" x14ac:dyDescent="0.25">
      <c r="S21" s="47">
        <f t="shared" si="5"/>
        <v>-8.7285696382157631</v>
      </c>
      <c r="T21" s="47">
        <f t="shared" si="6"/>
        <v>0.33975326998889255</v>
      </c>
      <c r="U21" s="47"/>
      <c r="V21" s="47"/>
      <c r="W21" s="47">
        <f t="shared" si="7"/>
        <v>-0.56707902083157302</v>
      </c>
      <c r="X21" s="47">
        <f t="shared" si="4"/>
        <v>-1.4739113116520388</v>
      </c>
      <c r="Y21" s="47">
        <f t="shared" si="4"/>
        <v>-2.3807436024725046</v>
      </c>
      <c r="Z21" s="47">
        <f t="shared" si="4"/>
        <v>-3.2875758932929702</v>
      </c>
      <c r="AA21" s="47">
        <f t="shared" si="4"/>
        <v>-4.1944081841134349</v>
      </c>
      <c r="AB21" s="47">
        <f t="shared" si="4"/>
        <v>-5.1012404749339009</v>
      </c>
      <c r="AC21" s="47">
        <f t="shared" si="4"/>
        <v>-6.008072765754366</v>
      </c>
      <c r="AD21" s="47">
        <f t="shared" si="4"/>
        <v>-6.914905056574832</v>
      </c>
      <c r="AE21" s="47">
        <f t="shared" si="4"/>
        <v>-7.8217373473952971</v>
      </c>
      <c r="AH21">
        <f t="shared" si="8"/>
        <v>-1.2116470737609342</v>
      </c>
      <c r="AI21">
        <f t="shared" si="9"/>
        <v>-1.4007878905400941</v>
      </c>
      <c r="AJ21" s="34">
        <v>0.11282375344632034</v>
      </c>
      <c r="AK21" s="34">
        <v>8.0638755430864628E-2</v>
      </c>
    </row>
    <row r="22" spans="5:37" x14ac:dyDescent="0.25">
      <c r="S22" s="47">
        <f t="shared" si="5"/>
        <v>19.98300445662462</v>
      </c>
      <c r="T22" s="47">
        <f t="shared" si="6"/>
        <v>14.021680489268444</v>
      </c>
      <c r="U22" s="47"/>
      <c r="V22" s="47"/>
      <c r="W22" s="47">
        <f t="shared" si="7"/>
        <v>14.617812886004062</v>
      </c>
      <c r="X22" s="47">
        <f t="shared" si="4"/>
        <v>15.213945282739679</v>
      </c>
      <c r="Y22" s="47">
        <f t="shared" si="4"/>
        <v>15.810077679475299</v>
      </c>
      <c r="Z22" s="47">
        <f t="shared" si="4"/>
        <v>16.406210076210915</v>
      </c>
      <c r="AA22" s="47">
        <f t="shared" si="4"/>
        <v>17.00234247294653</v>
      </c>
      <c r="AB22" s="47">
        <f t="shared" si="4"/>
        <v>17.59847486968215</v>
      </c>
      <c r="AC22" s="47">
        <f t="shared" si="4"/>
        <v>18.194607266417769</v>
      </c>
      <c r="AD22" s="47">
        <f t="shared" si="4"/>
        <v>18.790739663153385</v>
      </c>
      <c r="AE22" s="47">
        <f t="shared" si="4"/>
        <v>19.386872059889004</v>
      </c>
      <c r="AH22">
        <f t="shared" si="8"/>
        <v>0.68225623064806196</v>
      </c>
      <c r="AI22">
        <f t="shared" si="9"/>
        <v>1.1376030592334776</v>
      </c>
      <c r="AJ22" s="34">
        <v>0.75246152788478227</v>
      </c>
      <c r="AK22" s="34">
        <v>0.87235686568686999</v>
      </c>
    </row>
    <row r="23" spans="5:37" x14ac:dyDescent="0.25">
      <c r="S23" s="47">
        <f t="shared" si="5"/>
        <v>17.903073737761162</v>
      </c>
      <c r="T23" s="47">
        <f t="shared" si="6"/>
        <v>10.554797597458807</v>
      </c>
      <c r="U23" s="47"/>
      <c r="V23" s="47"/>
      <c r="W23" s="47">
        <f t="shared" si="7"/>
        <v>11.289625211489042</v>
      </c>
      <c r="X23" s="47">
        <f t="shared" si="4"/>
        <v>12.024452825519278</v>
      </c>
      <c r="Y23" s="47">
        <f t="shared" si="4"/>
        <v>12.759280439549514</v>
      </c>
      <c r="Z23" s="47">
        <f t="shared" si="4"/>
        <v>13.494108053579748</v>
      </c>
      <c r="AA23" s="47">
        <f t="shared" si="4"/>
        <v>14.228935667609985</v>
      </c>
      <c r="AB23" s="47">
        <f t="shared" si="4"/>
        <v>14.963763281640219</v>
      </c>
      <c r="AC23" s="47">
        <f t="shared" si="4"/>
        <v>15.698590895670456</v>
      </c>
      <c r="AD23" s="47">
        <f t="shared" si="4"/>
        <v>16.43341850970069</v>
      </c>
      <c r="AE23" s="47">
        <f t="shared" si="4"/>
        <v>17.168246123730928</v>
      </c>
      <c r="AH23">
        <f t="shared" si="8"/>
        <v>0.54505763441696298</v>
      </c>
      <c r="AI23">
        <f t="shared" si="9"/>
        <v>0.49439658579940771</v>
      </c>
      <c r="AJ23" s="34">
        <v>0.7071430604338742</v>
      </c>
      <c r="AK23" s="34">
        <v>0.68948693762617941</v>
      </c>
    </row>
    <row r="24" spans="5:37" x14ac:dyDescent="0.25">
      <c r="S24" s="47">
        <f t="shared" si="5"/>
        <v>11.367884374438814</v>
      </c>
      <c r="T24" s="47">
        <f t="shared" si="6"/>
        <v>7.6656775766326817</v>
      </c>
      <c r="U24" s="47"/>
      <c r="V24" s="47"/>
      <c r="W24" s="47">
        <f t="shared" si="7"/>
        <v>8.0358982564132955</v>
      </c>
      <c r="X24" s="47">
        <f t="shared" si="4"/>
        <v>8.4061189361939093</v>
      </c>
      <c r="Y24" s="47">
        <f t="shared" si="4"/>
        <v>8.7763396159745213</v>
      </c>
      <c r="Z24" s="47">
        <f t="shared" si="4"/>
        <v>9.1465602957551351</v>
      </c>
      <c r="AA24" s="47">
        <f t="shared" si="4"/>
        <v>9.5167809755357489</v>
      </c>
      <c r="AB24" s="47">
        <f t="shared" si="4"/>
        <v>9.8870016553163609</v>
      </c>
      <c r="AC24" s="47">
        <f t="shared" si="4"/>
        <v>10.257222335096975</v>
      </c>
      <c r="AD24" s="47">
        <f t="shared" si="4"/>
        <v>10.627443014877587</v>
      </c>
      <c r="AE24" s="47">
        <f t="shared" si="4"/>
        <v>10.9976636946582</v>
      </c>
      <c r="AH24">
        <f t="shared" si="8"/>
        <v>0.11397654184952595</v>
      </c>
      <c r="AI24">
        <f t="shared" si="9"/>
        <v>-4.1618260364994088E-2</v>
      </c>
      <c r="AJ24" s="34">
        <v>0.54537180543128361</v>
      </c>
      <c r="AK24" s="34">
        <v>0.48340150809343674</v>
      </c>
    </row>
    <row r="25" spans="5:37" x14ac:dyDescent="0.25">
      <c r="S25" s="47">
        <f t="shared" si="5"/>
        <v>8.1394521920024854</v>
      </c>
      <c r="T25" s="47">
        <f t="shared" si="6"/>
        <v>5.9875141236239831</v>
      </c>
      <c r="U25" s="47"/>
      <c r="V25" s="47"/>
      <c r="W25" s="47">
        <f t="shared" si="7"/>
        <v>6.2027079304618331</v>
      </c>
      <c r="X25" s="47">
        <f t="shared" si="4"/>
        <v>6.4179017372996841</v>
      </c>
      <c r="Y25" s="47">
        <f t="shared" si="4"/>
        <v>6.6330955441375341</v>
      </c>
      <c r="Z25" s="47">
        <f t="shared" si="4"/>
        <v>6.8482893509753833</v>
      </c>
      <c r="AA25" s="47">
        <f t="shared" si="4"/>
        <v>7.0634831578132342</v>
      </c>
      <c r="AB25" s="47">
        <f t="shared" si="4"/>
        <v>7.2786769646510852</v>
      </c>
      <c r="AC25" s="47">
        <f t="shared" si="4"/>
        <v>7.4938707714889352</v>
      </c>
      <c r="AD25" s="47">
        <f t="shared" si="4"/>
        <v>7.7090645783267844</v>
      </c>
      <c r="AE25" s="47">
        <f t="shared" si="4"/>
        <v>7.9242583851646344</v>
      </c>
      <c r="AH25">
        <f t="shared" si="8"/>
        <v>-9.8980726121208104E-2</v>
      </c>
      <c r="AI25">
        <f t="shared" si="9"/>
        <v>-0.35296583977291596</v>
      </c>
      <c r="AJ25" s="34">
        <v>0.46057678663645307</v>
      </c>
      <c r="AK25" s="34">
        <v>0.36205702513052462</v>
      </c>
    </row>
    <row r="26" spans="5:37" x14ac:dyDescent="0.25">
      <c r="S26" s="47">
        <f t="shared" si="5"/>
        <v>8.5917541315927561</v>
      </c>
      <c r="T26" s="47">
        <f t="shared" si="6"/>
        <v>3.1117969852592662</v>
      </c>
      <c r="U26" s="47"/>
      <c r="V26" s="47"/>
      <c r="W26" s="47">
        <f t="shared" si="7"/>
        <v>3.6597926998926154</v>
      </c>
      <c r="X26" s="47">
        <f t="shared" si="7"/>
        <v>4.2077884145259645</v>
      </c>
      <c r="Y26" s="47">
        <f t="shared" si="7"/>
        <v>4.7557841291593128</v>
      </c>
      <c r="Z26" s="47">
        <f t="shared" si="7"/>
        <v>5.3037798437926629</v>
      </c>
      <c r="AA26" s="47">
        <f t="shared" si="7"/>
        <v>5.8517755584260112</v>
      </c>
      <c r="AB26" s="47">
        <f t="shared" si="7"/>
        <v>6.3997712730593594</v>
      </c>
      <c r="AC26" s="47">
        <f t="shared" si="7"/>
        <v>6.9477669876927086</v>
      </c>
      <c r="AD26" s="47">
        <f t="shared" si="7"/>
        <v>7.4957627023260578</v>
      </c>
      <c r="AE26" s="47">
        <f t="shared" si="7"/>
        <v>8.0437584169594061</v>
      </c>
      <c r="AH26">
        <f t="shared" si="8"/>
        <v>-6.9145505831612469E-2</v>
      </c>
      <c r="AI26">
        <f t="shared" si="9"/>
        <v>-0.88649406581460732</v>
      </c>
      <c r="AJ26" s="34">
        <v>0.4724368996330236</v>
      </c>
      <c r="AK26" s="34">
        <v>0.18767567523837358</v>
      </c>
    </row>
    <row r="27" spans="5:37" x14ac:dyDescent="0.25">
      <c r="S27" s="47">
        <f t="shared" si="5"/>
        <v>17.883643736783306</v>
      </c>
      <c r="T27" s="47">
        <f t="shared" si="6"/>
        <v>10.822372742849861</v>
      </c>
      <c r="U27" s="47"/>
      <c r="V27" s="47"/>
      <c r="W27" s="47">
        <f t="shared" si="7"/>
        <v>11.528499842243207</v>
      </c>
      <c r="X27" s="47">
        <f t="shared" si="7"/>
        <v>12.234626941636551</v>
      </c>
      <c r="Y27" s="47">
        <f t="shared" si="7"/>
        <v>12.940754041029894</v>
      </c>
      <c r="Z27" s="47">
        <f t="shared" si="7"/>
        <v>13.64688114042324</v>
      </c>
      <c r="AA27" s="47">
        <f t="shared" si="7"/>
        <v>14.353008239816583</v>
      </c>
      <c r="AB27" s="47">
        <f t="shared" si="7"/>
        <v>15.059135339209927</v>
      </c>
      <c r="AC27" s="47">
        <f t="shared" si="7"/>
        <v>15.765262438603273</v>
      </c>
      <c r="AD27" s="47">
        <f t="shared" si="7"/>
        <v>16.471389537996615</v>
      </c>
      <c r="AE27" s="47">
        <f t="shared" si="7"/>
        <v>17.177516637389964</v>
      </c>
      <c r="AH27">
        <f t="shared" si="8"/>
        <v>0.5437759720833315</v>
      </c>
      <c r="AI27">
        <f t="shared" si="9"/>
        <v>0.54403946991648655</v>
      </c>
      <c r="AJ27" s="34">
        <v>0.70670217731520324</v>
      </c>
      <c r="AK27" s="34">
        <v>0.70679284389367636</v>
      </c>
    </row>
    <row r="28" spans="5:37" x14ac:dyDescent="0.25">
      <c r="S28" s="47">
        <f t="shared" si="5"/>
        <v>10.347417714954794</v>
      </c>
      <c r="T28" s="47">
        <f t="shared" si="6"/>
        <v>13.784866517079767</v>
      </c>
      <c r="U28" s="47"/>
      <c r="V28" s="47"/>
      <c r="W28" s="47">
        <f t="shared" si="7"/>
        <v>13.441121636867269</v>
      </c>
      <c r="X28" s="47">
        <f t="shared" si="7"/>
        <v>13.097376756654773</v>
      </c>
      <c r="Y28" s="47">
        <f t="shared" si="7"/>
        <v>12.753631876442274</v>
      </c>
      <c r="Z28" s="47">
        <f t="shared" si="7"/>
        <v>12.409886996229778</v>
      </c>
      <c r="AA28" s="47">
        <f t="shared" si="7"/>
        <v>12.06614211601728</v>
      </c>
      <c r="AB28" s="47">
        <f t="shared" si="7"/>
        <v>11.722397235804785</v>
      </c>
      <c r="AC28" s="47">
        <f t="shared" si="7"/>
        <v>11.378652355592285</v>
      </c>
      <c r="AD28" s="47">
        <f t="shared" si="7"/>
        <v>11.034907475379789</v>
      </c>
      <c r="AE28" s="47">
        <f t="shared" si="7"/>
        <v>10.691162595167292</v>
      </c>
      <c r="AH28">
        <f t="shared" si="8"/>
        <v>4.6663437661925683E-2</v>
      </c>
      <c r="AI28">
        <f t="shared" si="9"/>
        <v>1.0936672573431852</v>
      </c>
      <c r="AJ28" s="34">
        <v>0.518609264448193</v>
      </c>
      <c r="AK28" s="34">
        <v>0.86294953020694043</v>
      </c>
    </row>
    <row r="29" spans="5:37" x14ac:dyDescent="0.25">
      <c r="S29" s="47">
        <f t="shared" si="5"/>
        <v>-18.045549079536343</v>
      </c>
      <c r="T29" s="47">
        <f t="shared" si="6"/>
        <v>5.8124440027139279</v>
      </c>
      <c r="U29" s="47"/>
      <c r="V29" s="47"/>
      <c r="W29" s="47">
        <f t="shared" si="7"/>
        <v>3.4266446944889006</v>
      </c>
      <c r="X29" s="47">
        <f t="shared" si="7"/>
        <v>1.0408453862638734</v>
      </c>
      <c r="Y29" s="47">
        <f t="shared" si="7"/>
        <v>-1.3449539219611539</v>
      </c>
      <c r="Z29" s="47">
        <f t="shared" si="7"/>
        <v>-3.7307532301861812</v>
      </c>
      <c r="AA29" s="47">
        <f t="shared" si="7"/>
        <v>-6.1165525384112076</v>
      </c>
      <c r="AB29" s="47">
        <f t="shared" si="7"/>
        <v>-8.502351846636234</v>
      </c>
      <c r="AC29" s="47">
        <f t="shared" si="7"/>
        <v>-10.88815115486126</v>
      </c>
      <c r="AD29" s="47">
        <f t="shared" si="7"/>
        <v>-13.273950463086289</v>
      </c>
      <c r="AE29" s="47">
        <f t="shared" si="7"/>
        <v>-15.659749771311313</v>
      </c>
      <c r="AH29">
        <f t="shared" si="8"/>
        <v>-1.8262235540591256</v>
      </c>
      <c r="AI29">
        <f t="shared" si="9"/>
        <v>-0.3854463816857277</v>
      </c>
      <c r="AJ29" s="34">
        <v>3.3908297392925335E-2</v>
      </c>
      <c r="AK29" s="34">
        <v>0.34995336223784257</v>
      </c>
    </row>
    <row r="30" spans="5:37" x14ac:dyDescent="0.25">
      <c r="S30" s="47">
        <f t="shared" si="5"/>
        <v>-8.1032855937198214</v>
      </c>
      <c r="T30" s="47">
        <f t="shared" si="6"/>
        <v>17.351293093801253</v>
      </c>
      <c r="U30" s="47"/>
      <c r="V30" s="47"/>
      <c r="W30" s="47">
        <f t="shared" si="7"/>
        <v>14.805835225049146</v>
      </c>
      <c r="X30" s="47">
        <f t="shared" si="7"/>
        <v>12.260377356297038</v>
      </c>
      <c r="Y30" s="47">
        <f t="shared" si="7"/>
        <v>9.714919487544929</v>
      </c>
      <c r="Z30" s="47">
        <f t="shared" si="7"/>
        <v>7.1694616187928233</v>
      </c>
      <c r="AA30" s="47">
        <f t="shared" si="7"/>
        <v>4.6240037500407158</v>
      </c>
      <c r="AB30" s="47">
        <f t="shared" si="7"/>
        <v>2.0785458812886093</v>
      </c>
      <c r="AC30" s="47">
        <f t="shared" si="7"/>
        <v>-0.46691198746349727</v>
      </c>
      <c r="AD30" s="47">
        <f t="shared" si="7"/>
        <v>-3.0123698562156052</v>
      </c>
      <c r="AE30" s="47">
        <f t="shared" si="7"/>
        <v>-5.5578277249677122</v>
      </c>
      <c r="AH30">
        <f t="shared" si="8"/>
        <v>-1.1704014243878511</v>
      </c>
      <c r="AI30">
        <f t="shared" si="9"/>
        <v>1.7553419469019023</v>
      </c>
      <c r="AJ30" s="34">
        <v>0.12091973136495582</v>
      </c>
      <c r="AK30" s="34">
        <v>0.96039958222456867</v>
      </c>
    </row>
    <row r="31" spans="5:37" x14ac:dyDescent="0.25">
      <c r="S31" s="47">
        <f t="shared" si="5"/>
        <v>6.0346322316986498</v>
      </c>
      <c r="T31" s="47">
        <f t="shared" si="6"/>
        <v>2.5838544791941462</v>
      </c>
      <c r="U31" s="47"/>
      <c r="V31" s="47"/>
      <c r="W31" s="47">
        <f t="shared" si="7"/>
        <v>2.9289322544445966</v>
      </c>
      <c r="X31" s="47">
        <f t="shared" si="7"/>
        <v>3.274010029695047</v>
      </c>
      <c r="Y31" s="47">
        <f t="shared" si="7"/>
        <v>3.6190878049454973</v>
      </c>
      <c r="Z31" s="47">
        <f t="shared" si="7"/>
        <v>3.9641655801959477</v>
      </c>
      <c r="AA31" s="47">
        <f t="shared" si="7"/>
        <v>4.309243355446398</v>
      </c>
      <c r="AB31" s="47">
        <f t="shared" si="7"/>
        <v>4.6543211306968484</v>
      </c>
      <c r="AC31" s="47">
        <f t="shared" si="7"/>
        <v>4.9993989059472987</v>
      </c>
      <c r="AD31" s="47">
        <f t="shared" si="7"/>
        <v>5.3444766811977482</v>
      </c>
      <c r="AE31" s="47">
        <f t="shared" si="7"/>
        <v>5.6895544564481995</v>
      </c>
      <c r="AH31">
        <f t="shared" si="8"/>
        <v>-0.23782109289586742</v>
      </c>
      <c r="AI31">
        <f t="shared" si="9"/>
        <v>-0.98444258270980589</v>
      </c>
      <c r="AJ31" s="34">
        <v>0.40600992910004274</v>
      </c>
      <c r="AK31" s="34">
        <v>0.16244897475828524</v>
      </c>
    </row>
    <row r="32" spans="5:37" x14ac:dyDescent="0.25">
      <c r="S32" s="47">
        <f t="shared" si="5"/>
        <v>23.882183980565259</v>
      </c>
      <c r="T32" s="47">
        <f t="shared" si="6"/>
        <v>0.86548207045346537</v>
      </c>
      <c r="U32" s="47"/>
      <c r="V32" s="47"/>
      <c r="W32" s="47">
        <f t="shared" si="7"/>
        <v>3.1671522614646452</v>
      </c>
      <c r="X32" s="47">
        <f t="shared" si="7"/>
        <v>5.4688224524758251</v>
      </c>
      <c r="Y32" s="47">
        <f t="shared" si="7"/>
        <v>7.770492643487005</v>
      </c>
      <c r="Z32" s="47">
        <f t="shared" si="7"/>
        <v>10.072162834498183</v>
      </c>
      <c r="AA32" s="47">
        <f t="shared" si="7"/>
        <v>12.373833025509363</v>
      </c>
      <c r="AB32" s="47">
        <f t="shared" si="7"/>
        <v>14.675503216520541</v>
      </c>
      <c r="AC32" s="47">
        <f t="shared" si="7"/>
        <v>16.977173407531719</v>
      </c>
      <c r="AD32" s="47">
        <f t="shared" si="7"/>
        <v>19.278843598542899</v>
      </c>
      <c r="AE32" s="47">
        <f t="shared" si="7"/>
        <v>21.580513789554079</v>
      </c>
      <c r="AH32">
        <f t="shared" si="8"/>
        <v>0.93945804621142848</v>
      </c>
      <c r="AI32">
        <f t="shared" si="9"/>
        <v>-1.3032500796932347</v>
      </c>
      <c r="AJ32" s="34">
        <v>0.82625218866777761</v>
      </c>
      <c r="AK32" s="34">
        <v>9.6244698936806539E-2</v>
      </c>
    </row>
    <row r="33" spans="19:37" x14ac:dyDescent="0.25">
      <c r="S33" s="47">
        <f t="shared" si="5"/>
        <v>4.1102252142869169</v>
      </c>
      <c r="T33" s="47">
        <f t="shared" si="6"/>
        <v>7.6926646667874268</v>
      </c>
      <c r="U33" s="47"/>
      <c r="V33" s="47"/>
      <c r="W33" s="47">
        <f t="shared" si="7"/>
        <v>7.3344207215373753</v>
      </c>
      <c r="X33" s="47">
        <f t="shared" si="7"/>
        <v>6.9761767762873257</v>
      </c>
      <c r="Y33" s="47">
        <f t="shared" si="7"/>
        <v>6.6179328310372743</v>
      </c>
      <c r="Z33" s="47">
        <f t="shared" si="7"/>
        <v>6.2596888857872228</v>
      </c>
      <c r="AA33" s="47">
        <f t="shared" si="7"/>
        <v>5.9014449405371714</v>
      </c>
      <c r="AB33" s="47">
        <f t="shared" si="7"/>
        <v>5.5432009952871208</v>
      </c>
      <c r="AC33" s="47">
        <f t="shared" si="7"/>
        <v>5.1849570500370703</v>
      </c>
      <c r="AD33" s="47">
        <f t="shared" si="7"/>
        <v>4.8267131047870198</v>
      </c>
      <c r="AE33" s="47">
        <f t="shared" si="7"/>
        <v>4.4684691595369683</v>
      </c>
      <c r="AH33">
        <f t="shared" si="8"/>
        <v>-0.36476086976999234</v>
      </c>
      <c r="AI33">
        <f t="shared" si="9"/>
        <v>-3.6611379074688914E-2</v>
      </c>
      <c r="AJ33" s="34">
        <v>0.35764495843152266</v>
      </c>
      <c r="AK33" s="34">
        <v>0.48539743521228029</v>
      </c>
    </row>
    <row r="34" spans="19:37" x14ac:dyDescent="0.25">
      <c r="S34" s="47">
        <f t="shared" si="5"/>
        <v>5.7470372587570999</v>
      </c>
      <c r="T34" s="47">
        <f t="shared" si="6"/>
        <v>4.2789988377823587</v>
      </c>
      <c r="U34" s="47"/>
      <c r="V34" s="47"/>
      <c r="W34" s="47">
        <f t="shared" si="7"/>
        <v>4.4258026798798324</v>
      </c>
      <c r="X34" s="47">
        <f t="shared" si="7"/>
        <v>4.5726065219773071</v>
      </c>
      <c r="Y34" s="47">
        <f t="shared" si="7"/>
        <v>4.7194103640747809</v>
      </c>
      <c r="Z34" s="47">
        <f t="shared" si="7"/>
        <v>4.8662142061722555</v>
      </c>
      <c r="AA34" s="47">
        <f t="shared" si="7"/>
        <v>5.0130180482697293</v>
      </c>
      <c r="AB34" s="47">
        <f t="shared" si="7"/>
        <v>5.1598218903672031</v>
      </c>
      <c r="AC34" s="47">
        <f t="shared" si="7"/>
        <v>5.3066257324646777</v>
      </c>
      <c r="AD34" s="47">
        <f t="shared" si="7"/>
        <v>5.4534295745621515</v>
      </c>
      <c r="AE34" s="47">
        <f t="shared" si="7"/>
        <v>5.6002334166596262</v>
      </c>
      <c r="AH34">
        <f t="shared" si="8"/>
        <v>-0.25679173754900397</v>
      </c>
      <c r="AI34">
        <f t="shared" si="9"/>
        <v>-0.66994455699770716</v>
      </c>
      <c r="AJ34" s="34">
        <v>0.3986697743655373</v>
      </c>
      <c r="AK34" s="34">
        <v>0.25144656716742886</v>
      </c>
    </row>
    <row r="35" spans="19:37" x14ac:dyDescent="0.25">
      <c r="S35" s="47">
        <f t="shared" si="5"/>
        <v>22.276541294233127</v>
      </c>
      <c r="T35" s="47">
        <f t="shared" si="6"/>
        <v>9.1559785658575805</v>
      </c>
      <c r="U35" s="47"/>
      <c r="V35" s="47"/>
      <c r="W35" s="47">
        <f t="shared" si="7"/>
        <v>10.468034838695136</v>
      </c>
      <c r="X35" s="47">
        <f t="shared" si="7"/>
        <v>11.780091111532691</v>
      </c>
      <c r="Y35" s="47">
        <f t="shared" si="7"/>
        <v>13.092147384370245</v>
      </c>
      <c r="Z35" s="47">
        <f t="shared" si="7"/>
        <v>14.404203657207798</v>
      </c>
      <c r="AA35" s="47">
        <f t="shared" si="7"/>
        <v>15.716259930045354</v>
      </c>
      <c r="AB35" s="47">
        <f t="shared" si="7"/>
        <v>17.028316202882909</v>
      </c>
      <c r="AC35" s="47">
        <f t="shared" si="7"/>
        <v>18.340372475720464</v>
      </c>
      <c r="AD35" s="47">
        <f t="shared" si="7"/>
        <v>19.652428748558016</v>
      </c>
      <c r="AE35" s="47">
        <f t="shared" si="7"/>
        <v>20.964485021395571</v>
      </c>
      <c r="AH35">
        <f t="shared" si="8"/>
        <v>0.83354494025284476</v>
      </c>
      <c r="AI35">
        <f t="shared" si="9"/>
        <v>0.23487542965817845</v>
      </c>
      <c r="AJ35" s="34">
        <v>0.79773126828003948</v>
      </c>
      <c r="AK35" s="34">
        <v>0.59284728977478296</v>
      </c>
    </row>
    <row r="36" spans="19:37" x14ac:dyDescent="0.25">
      <c r="S36" s="47">
        <f t="shared" si="5"/>
        <v>18.955498894121504</v>
      </c>
      <c r="T36" s="47">
        <f t="shared" si="6"/>
        <v>6.7766128182095979</v>
      </c>
      <c r="U36" s="47"/>
      <c r="V36" s="47"/>
      <c r="W36" s="47">
        <f t="shared" si="7"/>
        <v>7.994501425800788</v>
      </c>
      <c r="X36" s="47">
        <f t="shared" si="7"/>
        <v>9.2123900333919799</v>
      </c>
      <c r="Y36" s="47">
        <f t="shared" si="7"/>
        <v>10.43027864098317</v>
      </c>
      <c r="Z36" s="47">
        <f t="shared" si="7"/>
        <v>11.64816724857436</v>
      </c>
      <c r="AA36" s="47">
        <f t="shared" si="7"/>
        <v>12.866055856165552</v>
      </c>
      <c r="AB36" s="47">
        <f t="shared" si="7"/>
        <v>14.083944463756742</v>
      </c>
      <c r="AC36" s="47">
        <f t="shared" si="7"/>
        <v>15.301833071347932</v>
      </c>
      <c r="AD36" s="47">
        <f t="shared" si="7"/>
        <v>16.519721678939121</v>
      </c>
      <c r="AE36" s="47">
        <f t="shared" si="7"/>
        <v>17.737610286530312</v>
      </c>
      <c r="AH36">
        <f t="shared" si="8"/>
        <v>0.61447881887345024</v>
      </c>
      <c r="AI36">
        <f t="shared" si="9"/>
        <v>-0.20656533984979619</v>
      </c>
      <c r="AJ36" s="34">
        <v>0.73055051722011355</v>
      </c>
      <c r="AK36" s="34">
        <v>0.41817466560514926</v>
      </c>
    </row>
    <row r="37" spans="19:37" x14ac:dyDescent="0.25">
      <c r="S37" s="47">
        <f t="shared" si="5"/>
        <v>2.4555371016989902</v>
      </c>
      <c r="T37" s="47">
        <f t="shared" si="6"/>
        <v>5.7463250446727843</v>
      </c>
      <c r="U37" s="47"/>
      <c r="V37" s="47"/>
      <c r="W37" s="47">
        <f t="shared" si="7"/>
        <v>5.4172462503754053</v>
      </c>
      <c r="X37" s="47">
        <f t="shared" si="7"/>
        <v>5.0881674560780255</v>
      </c>
      <c r="Y37" s="47">
        <f t="shared" si="7"/>
        <v>4.7590886617806456</v>
      </c>
      <c r="Z37" s="47">
        <f t="shared" si="7"/>
        <v>4.4300098674832666</v>
      </c>
      <c r="AA37" s="47">
        <f t="shared" si="7"/>
        <v>4.1009310731858868</v>
      </c>
      <c r="AB37" s="47">
        <f t="shared" si="7"/>
        <v>3.7718522788885078</v>
      </c>
      <c r="AC37" s="47">
        <f t="shared" si="7"/>
        <v>3.4427734845911289</v>
      </c>
      <c r="AD37" s="47">
        <f t="shared" si="7"/>
        <v>3.113694690293749</v>
      </c>
      <c r="AE37" s="47">
        <f t="shared" si="7"/>
        <v>2.78461589599637</v>
      </c>
      <c r="AH37">
        <f t="shared" si="8"/>
        <v>-0.47390916215705875</v>
      </c>
      <c r="AI37">
        <f t="shared" si="9"/>
        <v>-0.39771334978241474</v>
      </c>
      <c r="AJ37" s="34">
        <v>0.31778234268080108</v>
      </c>
      <c r="AK37" s="34">
        <v>0.34542074788912491</v>
      </c>
    </row>
    <row r="38" spans="19:37" x14ac:dyDescent="0.25">
      <c r="S38" s="47">
        <f t="shared" si="5"/>
        <v>13.29864511789922</v>
      </c>
      <c r="T38" s="47">
        <f t="shared" si="6"/>
        <v>4.665800206764235</v>
      </c>
      <c r="U38" s="47"/>
      <c r="V38" s="47"/>
      <c r="W38" s="47">
        <f t="shared" si="7"/>
        <v>5.5290846978777335</v>
      </c>
      <c r="X38" s="47">
        <f t="shared" si="7"/>
        <v>6.392369188991232</v>
      </c>
      <c r="Y38" s="47">
        <f t="shared" si="7"/>
        <v>7.2556536801047304</v>
      </c>
      <c r="Z38" s="47">
        <f t="shared" si="7"/>
        <v>8.1189381712182289</v>
      </c>
      <c r="AA38" s="47">
        <f t="shared" si="7"/>
        <v>8.9822226623317274</v>
      </c>
      <c r="AB38" s="47">
        <f t="shared" si="7"/>
        <v>9.8455071534452259</v>
      </c>
      <c r="AC38" s="47">
        <f t="shared" si="7"/>
        <v>10.708791644558723</v>
      </c>
      <c r="AD38" s="47">
        <f t="shared" si="7"/>
        <v>11.572076135672223</v>
      </c>
      <c r="AE38" s="47">
        <f t="shared" si="7"/>
        <v>12.435360626785721</v>
      </c>
      <c r="AH38">
        <f t="shared" si="8"/>
        <v>0.24133542994058174</v>
      </c>
      <c r="AI38">
        <f t="shared" si="9"/>
        <v>-0.59818177982110676</v>
      </c>
      <c r="AJ38" s="34">
        <v>0.59535242343433659</v>
      </c>
      <c r="AK38" s="34">
        <v>0.27485932371788924</v>
      </c>
    </row>
    <row r="39" spans="19:37" x14ac:dyDescent="0.25">
      <c r="S39" s="47">
        <f t="shared" si="5"/>
        <v>-10.961911954029681</v>
      </c>
      <c r="T39" s="47">
        <f t="shared" si="6"/>
        <v>2.8529098027675834</v>
      </c>
      <c r="U39" s="47"/>
      <c r="V39" s="47"/>
      <c r="W39" s="47">
        <f t="shared" si="7"/>
        <v>1.471427627087857</v>
      </c>
      <c r="X39" s="47">
        <f t="shared" si="7"/>
        <v>8.9945451408130594E-2</v>
      </c>
      <c r="Y39" s="47">
        <f t="shared" si="7"/>
        <v>-1.2915367242715963</v>
      </c>
      <c r="Z39" s="47">
        <f t="shared" si="7"/>
        <v>-2.6730188999513227</v>
      </c>
      <c r="AA39" s="47">
        <f t="shared" si="7"/>
        <v>-4.0545010756310482</v>
      </c>
      <c r="AB39" s="47">
        <f t="shared" si="7"/>
        <v>-5.4359832513107751</v>
      </c>
      <c r="AC39" s="47">
        <f t="shared" si="7"/>
        <v>-6.8174654269905002</v>
      </c>
      <c r="AD39" s="47">
        <f t="shared" si="7"/>
        <v>-8.198947602670227</v>
      </c>
      <c r="AE39" s="47">
        <f t="shared" si="7"/>
        <v>-9.5804297783499521</v>
      </c>
      <c r="AH39">
        <f t="shared" si="8"/>
        <v>-1.3589651684716149</v>
      </c>
      <c r="AI39">
        <f t="shared" si="9"/>
        <v>-0.93452508297447423</v>
      </c>
      <c r="AJ39" s="34">
        <v>8.7078813192189131E-2</v>
      </c>
      <c r="AK39" s="34">
        <v>0.17501655175691766</v>
      </c>
    </row>
    <row r="40" spans="19:37" x14ac:dyDescent="0.25">
      <c r="S40" s="47">
        <f t="shared" si="5"/>
        <v>6.8338307147239927</v>
      </c>
      <c r="T40" s="47">
        <f t="shared" si="6"/>
        <v>7.3955902300616598</v>
      </c>
      <c r="U40" s="47"/>
      <c r="V40" s="47"/>
      <c r="W40" s="47">
        <f t="shared" si="7"/>
        <v>7.3394142785278937</v>
      </c>
      <c r="X40" s="47">
        <f t="shared" si="7"/>
        <v>7.2832383269941268</v>
      </c>
      <c r="Y40" s="47">
        <f t="shared" si="7"/>
        <v>7.2270623754603598</v>
      </c>
      <c r="Z40" s="47">
        <f t="shared" si="7"/>
        <v>7.1708864239265928</v>
      </c>
      <c r="AA40" s="47">
        <f t="shared" si="7"/>
        <v>7.1147104723928258</v>
      </c>
      <c r="AB40" s="47">
        <f t="shared" si="7"/>
        <v>7.0585345208590589</v>
      </c>
      <c r="AC40" s="47">
        <f t="shared" si="7"/>
        <v>7.0023585693252937</v>
      </c>
      <c r="AD40" s="47">
        <f t="shared" si="7"/>
        <v>6.9461826177915258</v>
      </c>
      <c r="AE40" s="47">
        <f t="shared" si="7"/>
        <v>6.8900066662577597</v>
      </c>
      <c r="AH40">
        <f t="shared" si="8"/>
        <v>-0.18510351485989499</v>
      </c>
      <c r="AI40">
        <f t="shared" si="9"/>
        <v>-9.1727230044218913E-2</v>
      </c>
      <c r="AJ40" s="34">
        <v>0.42657392239448211</v>
      </c>
      <c r="AK40" s="34">
        <v>0.46345738107204582</v>
      </c>
    </row>
    <row r="41" spans="19:37" x14ac:dyDescent="0.25">
      <c r="S41" s="47">
        <f t="shared" si="5"/>
        <v>27.626758202707205</v>
      </c>
      <c r="T41" s="47">
        <f t="shared" si="6"/>
        <v>5.7607498460574611</v>
      </c>
      <c r="U41" s="47"/>
      <c r="V41" s="47"/>
      <c r="W41" s="47">
        <f t="shared" si="7"/>
        <v>7.947350681722436</v>
      </c>
      <c r="X41" s="47">
        <f t="shared" si="7"/>
        <v>10.133951517387409</v>
      </c>
      <c r="Y41" s="47">
        <f t="shared" si="7"/>
        <v>12.320552353052385</v>
      </c>
      <c r="Z41" s="47">
        <f t="shared" si="7"/>
        <v>14.507153188717359</v>
      </c>
      <c r="AA41" s="47">
        <f t="shared" si="7"/>
        <v>16.693754024382333</v>
      </c>
      <c r="AB41" s="47">
        <f t="shared" si="7"/>
        <v>18.880354860047309</v>
      </c>
      <c r="AC41" s="47">
        <f t="shared" si="7"/>
        <v>21.066955695712281</v>
      </c>
      <c r="AD41" s="47">
        <f t="shared" si="7"/>
        <v>23.253556531377253</v>
      </c>
      <c r="AE41" s="47">
        <f t="shared" si="7"/>
        <v>25.440157367042229</v>
      </c>
      <c r="AH41">
        <f t="shared" si="8"/>
        <v>1.1864616228698683</v>
      </c>
      <c r="AI41">
        <f t="shared" si="9"/>
        <v>-0.3950371343121592</v>
      </c>
      <c r="AJ41" s="34">
        <v>0.88227997576379058</v>
      </c>
      <c r="AK41" s="34">
        <v>0.34640774142143971</v>
      </c>
    </row>
    <row r="42" spans="19:37" x14ac:dyDescent="0.25">
      <c r="S42" s="47">
        <f t="shared" si="5"/>
        <v>-1.3449332833273822</v>
      </c>
      <c r="T42" s="47">
        <f t="shared" si="6"/>
        <v>13.609921949918347</v>
      </c>
      <c r="U42" s="47"/>
      <c r="V42" s="47"/>
      <c r="W42" s="47">
        <f t="shared" si="7"/>
        <v>12.114436426593775</v>
      </c>
      <c r="X42" s="47">
        <f t="shared" si="7"/>
        <v>10.618950903269202</v>
      </c>
      <c r="Y42" s="47">
        <f t="shared" si="7"/>
        <v>9.1234653799446264</v>
      </c>
      <c r="Z42" s="47">
        <f t="shared" si="7"/>
        <v>7.6279798566200547</v>
      </c>
      <c r="AA42" s="47">
        <f t="shared" si="7"/>
        <v>6.1324943332954822</v>
      </c>
      <c r="AB42" s="47">
        <f t="shared" si="7"/>
        <v>4.6370088099709097</v>
      </c>
      <c r="AC42" s="47">
        <f t="shared" si="7"/>
        <v>3.1415232866463372</v>
      </c>
      <c r="AD42" s="47">
        <f t="shared" si="7"/>
        <v>1.6460377633217647</v>
      </c>
      <c r="AE42" s="47">
        <f t="shared" si="7"/>
        <v>0.15055223999719192</v>
      </c>
      <c r="AH42">
        <f t="shared" si="8"/>
        <v>-0.72459982079995933</v>
      </c>
      <c r="AI42">
        <f t="shared" si="9"/>
        <v>1.0612100092612888</v>
      </c>
      <c r="AJ42" s="34">
        <v>0.23434878444774998</v>
      </c>
      <c r="AK42" s="34">
        <v>0.85570276419337254</v>
      </c>
    </row>
    <row r="43" spans="19:37" x14ac:dyDescent="0.25">
      <c r="S43" s="47">
        <f t="shared" si="5"/>
        <v>-5.5933078049689051</v>
      </c>
      <c r="T43" s="47">
        <f t="shared" si="6"/>
        <v>-0.86888800120329979</v>
      </c>
      <c r="U43" s="47"/>
      <c r="V43" s="47"/>
      <c r="W43" s="47">
        <f t="shared" ref="W43:AE71" si="10">$S43*W$7+$T43*W$8</f>
        <v>-1.3413299815798605</v>
      </c>
      <c r="X43" s="47">
        <f t="shared" si="10"/>
        <v>-1.813771961956421</v>
      </c>
      <c r="Y43" s="47">
        <f t="shared" si="10"/>
        <v>-2.2862139423329815</v>
      </c>
      <c r="Z43" s="47">
        <f t="shared" si="10"/>
        <v>-2.7586559227095422</v>
      </c>
      <c r="AA43" s="47">
        <f t="shared" si="10"/>
        <v>-3.2310979030861025</v>
      </c>
      <c r="AB43" s="47">
        <f t="shared" si="10"/>
        <v>-3.7035398834626627</v>
      </c>
      <c r="AC43" s="47">
        <f t="shared" si="10"/>
        <v>-4.1759818638392234</v>
      </c>
      <c r="AD43" s="47">
        <f t="shared" si="10"/>
        <v>-4.6484238442157837</v>
      </c>
      <c r="AE43" s="47">
        <f t="shared" si="10"/>
        <v>-5.120865824592344</v>
      </c>
      <c r="AH43">
        <f t="shared" si="8"/>
        <v>-1.0048356071879225</v>
      </c>
      <c r="AI43">
        <f t="shared" si="9"/>
        <v>-1.6250256031917067</v>
      </c>
      <c r="AJ43" s="34">
        <v>0.15748800755813674</v>
      </c>
      <c r="AK43" s="34">
        <v>5.2078551752259616E-2</v>
      </c>
    </row>
    <row r="44" spans="19:37" x14ac:dyDescent="0.25">
      <c r="S44" s="47">
        <f t="shared" si="5"/>
        <v>28.895044127548168</v>
      </c>
      <c r="T44" s="47">
        <f t="shared" si="6"/>
        <v>2.8795254582906136</v>
      </c>
      <c r="U44" s="47"/>
      <c r="V44" s="47"/>
      <c r="W44" s="47">
        <f t="shared" si="10"/>
        <v>5.4810773252163694</v>
      </c>
      <c r="X44" s="47">
        <f t="shared" si="10"/>
        <v>8.0826291921421252</v>
      </c>
      <c r="Y44" s="47">
        <f t="shared" si="10"/>
        <v>10.684181059067882</v>
      </c>
      <c r="Z44" s="47">
        <f t="shared" si="10"/>
        <v>13.285732925993637</v>
      </c>
      <c r="AA44" s="47">
        <f t="shared" si="10"/>
        <v>15.887284792919392</v>
      </c>
      <c r="AB44" s="47">
        <f t="shared" si="10"/>
        <v>18.488836659845148</v>
      </c>
      <c r="AC44" s="47">
        <f t="shared" si="10"/>
        <v>21.090388526770901</v>
      </c>
      <c r="AD44" s="47">
        <f t="shared" si="10"/>
        <v>23.691940393696655</v>
      </c>
      <c r="AE44" s="47">
        <f t="shared" si="10"/>
        <v>26.293492260622408</v>
      </c>
      <c r="AH44">
        <f t="shared" si="8"/>
        <v>1.2701216442973726</v>
      </c>
      <c r="AI44">
        <f t="shared" si="9"/>
        <v>-0.92958711348968215</v>
      </c>
      <c r="AJ44" s="34">
        <v>0.89797934856805839</v>
      </c>
      <c r="AK44" s="34">
        <v>0.17629245105209579</v>
      </c>
    </row>
    <row r="45" spans="19:37" x14ac:dyDescent="0.25">
      <c r="S45" s="47">
        <f t="shared" si="5"/>
        <v>30.858176955383147</v>
      </c>
      <c r="T45" s="47">
        <f t="shared" si="6"/>
        <v>7.8320330808975482</v>
      </c>
      <c r="U45" s="47"/>
      <c r="V45" s="47"/>
      <c r="W45" s="47">
        <f t="shared" si="10"/>
        <v>10.134647468346108</v>
      </c>
      <c r="X45" s="47">
        <f t="shared" si="10"/>
        <v>12.43726185579467</v>
      </c>
      <c r="Y45" s="47">
        <f t="shared" si="10"/>
        <v>14.739876243243231</v>
      </c>
      <c r="Z45" s="47">
        <f t="shared" si="10"/>
        <v>17.042490630691788</v>
      </c>
      <c r="AA45" s="47">
        <f t="shared" si="10"/>
        <v>19.345105018140348</v>
      </c>
      <c r="AB45" s="47">
        <f t="shared" si="10"/>
        <v>21.647719405588909</v>
      </c>
      <c r="AC45" s="47">
        <f t="shared" si="10"/>
        <v>23.950333793037466</v>
      </c>
      <c r="AD45" s="47">
        <f t="shared" si="10"/>
        <v>26.252948180486026</v>
      </c>
      <c r="AE45" s="47">
        <f t="shared" si="10"/>
        <v>28.555562567934587</v>
      </c>
      <c r="AH45">
        <f t="shared" si="8"/>
        <v>1.3996158941545611</v>
      </c>
      <c r="AI45">
        <f t="shared" si="9"/>
        <v>-1.0754530445723845E-2</v>
      </c>
      <c r="AJ45" s="34">
        <v>0.91918581410682776</v>
      </c>
      <c r="AK45" s="34">
        <v>0.4957096458031699</v>
      </c>
    </row>
    <row r="46" spans="19:37" x14ac:dyDescent="0.25">
      <c r="S46" s="47">
        <f t="shared" si="5"/>
        <v>37.558482483034183</v>
      </c>
      <c r="T46" s="47">
        <f t="shared" si="6"/>
        <v>7.251476561980172</v>
      </c>
      <c r="U46" s="47"/>
      <c r="V46" s="47"/>
      <c r="W46" s="47">
        <f t="shared" si="10"/>
        <v>10.282177154085574</v>
      </c>
      <c r="X46" s="47">
        <f t="shared" si="10"/>
        <v>13.312877746190974</v>
      </c>
      <c r="Y46" s="47">
        <f t="shared" si="10"/>
        <v>16.343578338296378</v>
      </c>
      <c r="Z46" s="47">
        <f t="shared" si="10"/>
        <v>19.374278930401779</v>
      </c>
      <c r="AA46" s="47">
        <f t="shared" si="10"/>
        <v>22.404979522507176</v>
      </c>
      <c r="AB46" s="47">
        <f t="shared" si="10"/>
        <v>25.43568011461258</v>
      </c>
      <c r="AC46" s="47">
        <f t="shared" si="10"/>
        <v>28.466380706717977</v>
      </c>
      <c r="AD46" s="47">
        <f t="shared" si="10"/>
        <v>31.497081298823382</v>
      </c>
      <c r="AE46" s="47">
        <f t="shared" si="10"/>
        <v>34.527781890928779</v>
      </c>
      <c r="AH46">
        <f t="shared" si="8"/>
        <v>1.841588554289854</v>
      </c>
      <c r="AI46">
        <f t="shared" si="9"/>
        <v>-0.11846445974393831</v>
      </c>
      <c r="AJ46" s="34">
        <v>0.9672323217418104</v>
      </c>
      <c r="AK46" s="34">
        <v>0.45284982688832276</v>
      </c>
    </row>
    <row r="47" spans="19:37" x14ac:dyDescent="0.25">
      <c r="S47" s="47">
        <f t="shared" si="5"/>
        <v>36.952115847790083</v>
      </c>
      <c r="T47" s="47">
        <f t="shared" si="6"/>
        <v>8.2731671613874891</v>
      </c>
      <c r="U47" s="47"/>
      <c r="V47" s="47"/>
      <c r="W47" s="47">
        <f t="shared" si="10"/>
        <v>11.141062030027749</v>
      </c>
      <c r="X47" s="47">
        <f t="shared" si="10"/>
        <v>14.008956898668007</v>
      </c>
      <c r="Y47" s="47">
        <f t="shared" si="10"/>
        <v>16.876851767308271</v>
      </c>
      <c r="Z47" s="47">
        <f t="shared" si="10"/>
        <v>19.744746635948527</v>
      </c>
      <c r="AA47" s="47">
        <f t="shared" si="10"/>
        <v>22.612641504588787</v>
      </c>
      <c r="AB47" s="47">
        <f t="shared" si="10"/>
        <v>25.480536373229043</v>
      </c>
      <c r="AC47" s="47">
        <f t="shared" si="10"/>
        <v>28.348431241869303</v>
      </c>
      <c r="AD47" s="47">
        <f t="shared" si="10"/>
        <v>31.216326110509563</v>
      </c>
      <c r="AE47" s="47">
        <f t="shared" si="10"/>
        <v>34.084220979149819</v>
      </c>
      <c r="AH47">
        <f t="shared" si="8"/>
        <v>1.801590755131272</v>
      </c>
      <c r="AI47">
        <f t="shared" si="9"/>
        <v>7.108852715908888E-2</v>
      </c>
      <c r="AJ47" s="34">
        <v>0.96419509156997263</v>
      </c>
      <c r="AK47" s="34">
        <v>0.52833635046485794</v>
      </c>
    </row>
    <row r="48" spans="19:37" x14ac:dyDescent="0.25">
      <c r="S48" s="47">
        <f t="shared" si="5"/>
        <v>-12.559391006690536</v>
      </c>
      <c r="T48" s="47">
        <f t="shared" si="6"/>
        <v>-1.5591623181838701</v>
      </c>
      <c r="U48" s="47"/>
      <c r="V48" s="47"/>
      <c r="W48" s="47">
        <f t="shared" si="10"/>
        <v>-2.6591851870345371</v>
      </c>
      <c r="X48" s="47">
        <f t="shared" si="10"/>
        <v>-3.7592080558852032</v>
      </c>
      <c r="Y48" s="47">
        <f t="shared" si="10"/>
        <v>-4.8592309247358703</v>
      </c>
      <c r="Z48" s="47">
        <f t="shared" si="10"/>
        <v>-5.9592537935865364</v>
      </c>
      <c r="AA48" s="47">
        <f t="shared" si="10"/>
        <v>-7.0592766624372025</v>
      </c>
      <c r="AB48" s="47">
        <f t="shared" si="10"/>
        <v>-8.1592995312878696</v>
      </c>
      <c r="AC48" s="47">
        <f t="shared" si="10"/>
        <v>-9.2593224001385348</v>
      </c>
      <c r="AD48" s="47">
        <f t="shared" si="10"/>
        <v>-10.359345268989202</v>
      </c>
      <c r="AE48" s="47">
        <f t="shared" si="10"/>
        <v>-11.459368137839869</v>
      </c>
      <c r="AH48">
        <f t="shared" si="8"/>
        <v>-1.4643397761669219</v>
      </c>
      <c r="AI48">
        <f t="shared" si="9"/>
        <v>-1.7530913391806811</v>
      </c>
      <c r="AJ48" s="34">
        <v>7.1550567103807028E-2</v>
      </c>
      <c r="AK48" s="34">
        <v>3.9793164967942274E-2</v>
      </c>
    </row>
    <row r="49" spans="19:37" x14ac:dyDescent="0.25">
      <c r="S49" s="47">
        <f t="shared" si="5"/>
        <v>10.881429975716769</v>
      </c>
      <c r="T49" s="47">
        <f t="shared" si="6"/>
        <v>0.10590470406833941</v>
      </c>
      <c r="U49" s="47"/>
      <c r="V49" s="47"/>
      <c r="W49" s="47">
        <f t="shared" si="10"/>
        <v>1.1834572312331824</v>
      </c>
      <c r="X49" s="47">
        <f t="shared" si="10"/>
        <v>2.2610097583980253</v>
      </c>
      <c r="Y49" s="47">
        <f t="shared" si="10"/>
        <v>3.3385622855628689</v>
      </c>
      <c r="Z49" s="47">
        <f t="shared" si="10"/>
        <v>4.4161148127277112</v>
      </c>
      <c r="AA49" s="47">
        <f t="shared" si="10"/>
        <v>5.4936673398925535</v>
      </c>
      <c r="AB49" s="47">
        <f t="shared" si="10"/>
        <v>6.5712198670573967</v>
      </c>
      <c r="AC49" s="47">
        <f t="shared" si="10"/>
        <v>7.6487723942222399</v>
      </c>
      <c r="AD49" s="47">
        <f t="shared" si="10"/>
        <v>8.7263249213870822</v>
      </c>
      <c r="AE49" s="47">
        <f t="shared" si="10"/>
        <v>9.8038774485519244</v>
      </c>
      <c r="AH49">
        <f t="shared" si="8"/>
        <v>8.1888520825644337E-2</v>
      </c>
      <c r="AI49">
        <f t="shared" si="9"/>
        <v>-1.4441735242915883</v>
      </c>
      <c r="AJ49" s="34">
        <v>0.53263231858258109</v>
      </c>
      <c r="AK49" s="34">
        <v>7.4345085165560376E-2</v>
      </c>
    </row>
    <row r="50" spans="19:37" x14ac:dyDescent="0.25">
      <c r="S50" s="47">
        <f t="shared" si="5"/>
        <v>-2.652273679515325</v>
      </c>
      <c r="T50" s="47">
        <f t="shared" si="6"/>
        <v>-0.58897998566447551</v>
      </c>
      <c r="U50" s="47"/>
      <c r="V50" s="47"/>
      <c r="W50" s="47">
        <f t="shared" si="10"/>
        <v>-0.79530935504956046</v>
      </c>
      <c r="X50" s="47">
        <f t="shared" si="10"/>
        <v>-1.0016387244346454</v>
      </c>
      <c r="Y50" s="47">
        <f t="shared" si="10"/>
        <v>-1.2079680938197304</v>
      </c>
      <c r="Z50" s="47">
        <f t="shared" si="10"/>
        <v>-1.4142974632048153</v>
      </c>
      <c r="AA50" s="47">
        <f t="shared" si="10"/>
        <v>-1.6206268325899003</v>
      </c>
      <c r="AB50" s="47">
        <f t="shared" si="10"/>
        <v>-1.8269562019749852</v>
      </c>
      <c r="AC50" s="47">
        <f t="shared" si="10"/>
        <v>-2.0332855713600702</v>
      </c>
      <c r="AD50" s="47">
        <f t="shared" si="10"/>
        <v>-2.2396149407451547</v>
      </c>
      <c r="AE50" s="47">
        <f t="shared" si="10"/>
        <v>-2.4459443101302401</v>
      </c>
      <c r="AH50">
        <f t="shared" si="8"/>
        <v>-0.81083599469098455</v>
      </c>
      <c r="AI50">
        <f t="shared" si="9"/>
        <v>-1.5730946170063962</v>
      </c>
      <c r="AJ50" s="34">
        <v>0.20872993034853371</v>
      </c>
      <c r="AK50" s="34">
        <v>5.7848455598278781E-2</v>
      </c>
    </row>
    <row r="51" spans="19:37" x14ac:dyDescent="0.25">
      <c r="S51" s="47">
        <f t="shared" si="5"/>
        <v>3.2840346722220541</v>
      </c>
      <c r="T51" s="47">
        <f t="shared" si="6"/>
        <v>5.0556590283511564</v>
      </c>
      <c r="U51" s="47"/>
      <c r="V51" s="47"/>
      <c r="W51" s="47">
        <f t="shared" si="10"/>
        <v>4.8784965927382462</v>
      </c>
      <c r="X51" s="47">
        <f t="shared" si="10"/>
        <v>4.7013341571253369</v>
      </c>
      <c r="Y51" s="47">
        <f t="shared" si="10"/>
        <v>4.5241717215124257</v>
      </c>
      <c r="Z51" s="47">
        <f t="shared" si="10"/>
        <v>4.3470092858995155</v>
      </c>
      <c r="AA51" s="47">
        <f t="shared" si="10"/>
        <v>4.1698468502866053</v>
      </c>
      <c r="AB51" s="47">
        <f t="shared" si="10"/>
        <v>3.9926844146736951</v>
      </c>
      <c r="AC51" s="47">
        <f t="shared" si="10"/>
        <v>3.8155219790607848</v>
      </c>
      <c r="AD51" s="47">
        <f t="shared" si="10"/>
        <v>3.6383595434478746</v>
      </c>
      <c r="AE51" s="47">
        <f t="shared" si="10"/>
        <v>3.4611971078349644</v>
      </c>
      <c r="AH51">
        <f t="shared" si="8"/>
        <v>-0.41925892663442915</v>
      </c>
      <c r="AI51">
        <f t="shared" si="9"/>
        <v>-0.5258517572632363</v>
      </c>
      <c r="AJ51" s="34">
        <v>0.33751345539164279</v>
      </c>
      <c r="AK51" s="34">
        <v>0.2994956051188632</v>
      </c>
    </row>
    <row r="52" spans="19:37" x14ac:dyDescent="0.25">
      <c r="S52" s="47">
        <f t="shared" si="5"/>
        <v>13.951373278308129</v>
      </c>
      <c r="T52" s="47">
        <f t="shared" si="6"/>
        <v>13.779154547291428</v>
      </c>
      <c r="U52" s="47"/>
      <c r="V52" s="47"/>
      <c r="W52" s="47">
        <f t="shared" si="10"/>
        <v>13.796376420393099</v>
      </c>
      <c r="X52" s="47">
        <f t="shared" si="10"/>
        <v>13.813598293494771</v>
      </c>
      <c r="Y52" s="47">
        <f t="shared" si="10"/>
        <v>13.830820166596439</v>
      </c>
      <c r="Z52" s="47">
        <f t="shared" si="10"/>
        <v>13.848042039698107</v>
      </c>
      <c r="AA52" s="47">
        <f t="shared" si="10"/>
        <v>13.865263912799779</v>
      </c>
      <c r="AB52" s="47">
        <f t="shared" si="10"/>
        <v>13.88248578590145</v>
      </c>
      <c r="AC52" s="47">
        <f t="shared" si="10"/>
        <v>13.899707659003118</v>
      </c>
      <c r="AD52" s="47">
        <f t="shared" si="10"/>
        <v>13.916929532104788</v>
      </c>
      <c r="AE52" s="47">
        <f t="shared" si="10"/>
        <v>13.93415140520646</v>
      </c>
      <c r="AH52">
        <f t="shared" si="8"/>
        <v>0.28439137719710617</v>
      </c>
      <c r="AI52">
        <f t="shared" si="9"/>
        <v>1.0926075226885767</v>
      </c>
      <c r="AJ52" s="34">
        <v>0.61194476683962251</v>
      </c>
      <c r="AK52" s="34">
        <v>0.86271692081226081</v>
      </c>
    </row>
    <row r="53" spans="19:37" x14ac:dyDescent="0.25">
      <c r="S53" s="47">
        <f t="shared" si="5"/>
        <v>-15.422037914620152</v>
      </c>
      <c r="T53" s="47">
        <f t="shared" si="6"/>
        <v>15.626202273018022</v>
      </c>
      <c r="U53" s="47"/>
      <c r="V53" s="47"/>
      <c r="W53" s="47">
        <f t="shared" si="10"/>
        <v>12.521378254254206</v>
      </c>
      <c r="X53" s="47">
        <f t="shared" si="10"/>
        <v>9.4165542354903877</v>
      </c>
      <c r="Y53" s="47">
        <f t="shared" si="10"/>
        <v>6.3117302167265681</v>
      </c>
      <c r="Z53" s="47">
        <f t="shared" si="10"/>
        <v>3.206906197962752</v>
      </c>
      <c r="AA53" s="47">
        <f t="shared" si="10"/>
        <v>0.10208217919893503</v>
      </c>
      <c r="AB53" s="47">
        <f t="shared" si="10"/>
        <v>-3.0027418395648819</v>
      </c>
      <c r="AC53" s="47">
        <f t="shared" si="10"/>
        <v>-6.107565858328698</v>
      </c>
      <c r="AD53" s="47">
        <f t="shared" si="10"/>
        <v>-9.2123898770925159</v>
      </c>
      <c r="AE53" s="47">
        <f t="shared" si="10"/>
        <v>-12.317213895856332</v>
      </c>
      <c r="AH53">
        <f t="shared" si="8"/>
        <v>-1.6531687278773188</v>
      </c>
      <c r="AI53">
        <f t="shared" si="9"/>
        <v>1.4352879912834922</v>
      </c>
      <c r="AJ53" s="34">
        <v>4.9148264512956175E-2</v>
      </c>
      <c r="AK53" s="34">
        <v>0.92439747582793363</v>
      </c>
    </row>
    <row r="54" spans="19:37" x14ac:dyDescent="0.25">
      <c r="S54" s="47">
        <f t="shared" si="5"/>
        <v>28.266207330261448</v>
      </c>
      <c r="T54" s="47">
        <f t="shared" si="6"/>
        <v>1.716831610317846</v>
      </c>
      <c r="U54" s="47"/>
      <c r="V54" s="47"/>
      <c r="W54" s="47">
        <f t="shared" si="10"/>
        <v>4.3717691823122067</v>
      </c>
      <c r="X54" s="47">
        <f t="shared" si="10"/>
        <v>7.0267067543065664</v>
      </c>
      <c r="Y54" s="47">
        <f t="shared" si="10"/>
        <v>9.681644326300928</v>
      </c>
      <c r="Z54" s="47">
        <f t="shared" si="10"/>
        <v>12.336581898295286</v>
      </c>
      <c r="AA54" s="47">
        <f t="shared" si="10"/>
        <v>14.991519470289647</v>
      </c>
      <c r="AB54" s="47">
        <f t="shared" si="10"/>
        <v>17.646457042284005</v>
      </c>
      <c r="AC54" s="47">
        <f t="shared" si="10"/>
        <v>20.301394614278365</v>
      </c>
      <c r="AD54" s="47">
        <f t="shared" si="10"/>
        <v>22.956332186272725</v>
      </c>
      <c r="AE54" s="47">
        <f t="shared" si="10"/>
        <v>25.611269758267085</v>
      </c>
      <c r="AH54">
        <f t="shared" si="8"/>
        <v>1.2286416444763488</v>
      </c>
      <c r="AI54">
        <f t="shared" si="9"/>
        <v>-1.1453002578260025</v>
      </c>
      <c r="AJ54" s="34">
        <v>0.89039690280345962</v>
      </c>
      <c r="AK54" s="34">
        <v>0.12604239960938302</v>
      </c>
    </row>
    <row r="55" spans="19:37" x14ac:dyDescent="0.25">
      <c r="S55" s="47">
        <f t="shared" si="5"/>
        <v>-9.2911978586322732</v>
      </c>
      <c r="T55" s="47">
        <f t="shared" si="6"/>
        <v>2.4933832067341015</v>
      </c>
      <c r="U55" s="47"/>
      <c r="V55" s="47"/>
      <c r="W55" s="47">
        <f t="shared" si="10"/>
        <v>1.3149251001974642</v>
      </c>
      <c r="X55" s="47">
        <f t="shared" si="10"/>
        <v>0.13646699366082649</v>
      </c>
      <c r="Y55" s="47">
        <f t="shared" si="10"/>
        <v>-1.0419911128758113</v>
      </c>
      <c r="Z55" s="47">
        <f t="shared" si="10"/>
        <v>-2.2204492194124485</v>
      </c>
      <c r="AA55" s="47">
        <f t="shared" si="10"/>
        <v>-3.3989073259490858</v>
      </c>
      <c r="AB55" s="47">
        <f t="shared" si="10"/>
        <v>-4.5773654324857231</v>
      </c>
      <c r="AC55" s="47">
        <f t="shared" si="10"/>
        <v>-5.7558235390223604</v>
      </c>
      <c r="AD55" s="47">
        <f t="shared" si="10"/>
        <v>-6.9342816455589977</v>
      </c>
      <c r="AE55" s="47">
        <f t="shared" si="10"/>
        <v>-8.1127397520956332</v>
      </c>
      <c r="AH55">
        <f t="shared" si="8"/>
        <v>-1.2487597532079335</v>
      </c>
      <c r="AI55">
        <f t="shared" si="9"/>
        <v>-1.0012276054296658</v>
      </c>
      <c r="AJ55" s="34">
        <v>0.10587647923736421</v>
      </c>
      <c r="AK55" s="34">
        <v>0.15835839168293775</v>
      </c>
    </row>
    <row r="56" spans="19:37" x14ac:dyDescent="0.25">
      <c r="S56" s="47">
        <f t="shared" si="5"/>
        <v>-8.1841753155728476</v>
      </c>
      <c r="T56" s="47">
        <f t="shared" si="6"/>
        <v>7.2399666359874715</v>
      </c>
      <c r="U56" s="47"/>
      <c r="V56" s="47"/>
      <c r="W56" s="47">
        <f t="shared" si="10"/>
        <v>5.6975524408314397</v>
      </c>
      <c r="X56" s="47">
        <f t="shared" si="10"/>
        <v>4.155138245675408</v>
      </c>
      <c r="Y56" s="47">
        <f t="shared" si="10"/>
        <v>2.6127240505193754</v>
      </c>
      <c r="Z56" s="47">
        <f t="shared" si="10"/>
        <v>1.0703098553633437</v>
      </c>
      <c r="AA56" s="47">
        <f t="shared" si="10"/>
        <v>-0.47210433979268807</v>
      </c>
      <c r="AB56" s="47">
        <f t="shared" si="10"/>
        <v>-2.0145185349487198</v>
      </c>
      <c r="AC56" s="47">
        <f t="shared" si="10"/>
        <v>-3.5569327301047511</v>
      </c>
      <c r="AD56" s="47">
        <f t="shared" si="10"/>
        <v>-5.0993469252607824</v>
      </c>
      <c r="AE56" s="47">
        <f t="shared" si="10"/>
        <v>-6.6417611204168141</v>
      </c>
      <c r="AH56">
        <f t="shared" si="8"/>
        <v>-1.1757371580193172</v>
      </c>
      <c r="AI56">
        <f t="shared" si="9"/>
        <v>-0.12059988200603496</v>
      </c>
      <c r="AJ56" s="34">
        <v>0.1198499625972439</v>
      </c>
      <c r="AK56" s="34">
        <v>0.4520039811534271</v>
      </c>
    </row>
    <row r="57" spans="19:37" x14ac:dyDescent="0.25">
      <c r="S57" s="47">
        <f t="shared" si="5"/>
        <v>26.645421802277315</v>
      </c>
      <c r="T57" s="47">
        <f t="shared" si="6"/>
        <v>11.35668733900831</v>
      </c>
      <c r="U57" s="47"/>
      <c r="V57" s="47"/>
      <c r="W57" s="47">
        <f t="shared" si="10"/>
        <v>12.885560785335212</v>
      </c>
      <c r="X57" s="47">
        <f t="shared" si="10"/>
        <v>14.414434231662113</v>
      </c>
      <c r="Y57" s="47">
        <f t="shared" si="10"/>
        <v>15.943307677989011</v>
      </c>
      <c r="Z57" s="47">
        <f t="shared" si="10"/>
        <v>17.472181124315913</v>
      </c>
      <c r="AA57" s="47">
        <f t="shared" si="10"/>
        <v>19.001054570642815</v>
      </c>
      <c r="AB57" s="47">
        <f t="shared" si="10"/>
        <v>20.529928016969713</v>
      </c>
      <c r="AC57" s="47">
        <f t="shared" si="10"/>
        <v>22.058801463296614</v>
      </c>
      <c r="AD57" s="47">
        <f t="shared" si="10"/>
        <v>23.587674909623512</v>
      </c>
      <c r="AE57" s="47">
        <f t="shared" si="10"/>
        <v>25.116548355950414</v>
      </c>
      <c r="AH57">
        <f t="shared" si="8"/>
        <v>1.1217296703349153</v>
      </c>
      <c r="AI57">
        <f t="shared" si="9"/>
        <v>0.64317019276592025</v>
      </c>
      <c r="AJ57" s="34">
        <v>0.86901130141372085</v>
      </c>
      <c r="AK57" s="34">
        <v>0.73994316391542592</v>
      </c>
    </row>
    <row r="58" spans="19:37" x14ac:dyDescent="0.25">
      <c r="S58" s="47">
        <f t="shared" si="5"/>
        <v>-4.3796202119061771</v>
      </c>
      <c r="T58" s="47">
        <f t="shared" si="6"/>
        <v>3.2543917585555171</v>
      </c>
      <c r="U58" s="47"/>
      <c r="V58" s="47"/>
      <c r="W58" s="47">
        <f t="shared" si="10"/>
        <v>2.4909905615093475</v>
      </c>
      <c r="X58" s="47">
        <f t="shared" si="10"/>
        <v>1.7275893644631783</v>
      </c>
      <c r="Y58" s="47">
        <f t="shared" si="10"/>
        <v>0.96418816741700875</v>
      </c>
      <c r="Z58" s="47">
        <f t="shared" si="10"/>
        <v>0.20078697037083937</v>
      </c>
      <c r="AA58" s="47">
        <f t="shared" si="10"/>
        <v>-0.56261422667533001</v>
      </c>
      <c r="AB58" s="47">
        <f t="shared" si="10"/>
        <v>-1.3260154237214992</v>
      </c>
      <c r="AC58" s="47">
        <f t="shared" si="10"/>
        <v>-2.0894166207676688</v>
      </c>
      <c r="AD58" s="47">
        <f t="shared" si="10"/>
        <v>-2.8528178178138379</v>
      </c>
      <c r="AE58" s="47">
        <f t="shared" si="10"/>
        <v>-3.6162190148600071</v>
      </c>
      <c r="AH58">
        <f t="shared" si="8"/>
        <v>-0.92477705883286132</v>
      </c>
      <c r="AI58">
        <f t="shared" si="9"/>
        <v>-0.8600386347763419</v>
      </c>
      <c r="AJ58" s="34">
        <v>0.17754094310859081</v>
      </c>
      <c r="AK58" s="34">
        <v>0.1948838729793767</v>
      </c>
    </row>
    <row r="59" spans="19:37" x14ac:dyDescent="0.25">
      <c r="S59" s="47">
        <f t="shared" si="5"/>
        <v>8.3092981385756328</v>
      </c>
      <c r="T59" s="47">
        <f t="shared" si="6"/>
        <v>10.247261075015539</v>
      </c>
      <c r="U59" s="47"/>
      <c r="V59" s="47"/>
      <c r="W59" s="47">
        <f t="shared" si="10"/>
        <v>10.053464781371549</v>
      </c>
      <c r="X59" s="47">
        <f t="shared" si="10"/>
        <v>9.8596684877275571</v>
      </c>
      <c r="Y59" s="47">
        <f t="shared" si="10"/>
        <v>9.6658721940835672</v>
      </c>
      <c r="Z59" s="47">
        <f t="shared" si="10"/>
        <v>9.4720759004395774</v>
      </c>
      <c r="AA59" s="47">
        <f t="shared" si="10"/>
        <v>9.2782796067955857</v>
      </c>
      <c r="AB59" s="47">
        <f t="shared" si="10"/>
        <v>9.0844833131515941</v>
      </c>
      <c r="AC59" s="47">
        <f t="shared" si="10"/>
        <v>8.8906870195076042</v>
      </c>
      <c r="AD59" s="47">
        <f t="shared" si="10"/>
        <v>8.6968907258636143</v>
      </c>
      <c r="AE59" s="47">
        <f t="shared" si="10"/>
        <v>8.5030944322196245</v>
      </c>
      <c r="AH59">
        <f t="shared" si="8"/>
        <v>-8.7777167640129813E-2</v>
      </c>
      <c r="AI59">
        <f t="shared" si="9"/>
        <v>0.43733971707152858</v>
      </c>
      <c r="AJ59" s="34">
        <v>0.46502689264448482</v>
      </c>
      <c r="AK59" s="34">
        <v>0.66906750218051392</v>
      </c>
    </row>
    <row r="60" spans="19:37" x14ac:dyDescent="0.25">
      <c r="S60" s="47">
        <f t="shared" si="5"/>
        <v>25.235198546382893</v>
      </c>
      <c r="T60" s="47">
        <f t="shared" si="6"/>
        <v>11.456076885686802</v>
      </c>
      <c r="U60" s="47"/>
      <c r="V60" s="47"/>
      <c r="W60" s="47">
        <f t="shared" si="10"/>
        <v>12.833989051756411</v>
      </c>
      <c r="X60" s="47">
        <f t="shared" si="10"/>
        <v>14.21190121782602</v>
      </c>
      <c r="Y60" s="47">
        <f t="shared" si="10"/>
        <v>15.589813383895631</v>
      </c>
      <c r="Z60" s="47">
        <f t="shared" si="10"/>
        <v>16.967725549965238</v>
      </c>
      <c r="AA60" s="47">
        <f t="shared" si="10"/>
        <v>18.345637716034847</v>
      </c>
      <c r="AB60" s="47">
        <f t="shared" si="10"/>
        <v>19.723549882104457</v>
      </c>
      <c r="AC60" s="47">
        <f t="shared" si="10"/>
        <v>21.101462048174064</v>
      </c>
      <c r="AD60" s="47">
        <f t="shared" si="10"/>
        <v>22.479374214243677</v>
      </c>
      <c r="AE60" s="47">
        <f t="shared" si="10"/>
        <v>23.857286380313283</v>
      </c>
      <c r="AH60">
        <f t="shared" si="8"/>
        <v>1.0287070281255206</v>
      </c>
      <c r="AI60">
        <f t="shared" si="9"/>
        <v>0.66160981181573308</v>
      </c>
      <c r="AJ60" s="34">
        <v>0.84819131683100557</v>
      </c>
      <c r="AK60" s="34">
        <v>0.74588934114495742</v>
      </c>
    </row>
    <row r="61" spans="19:37" x14ac:dyDescent="0.25">
      <c r="S61" s="47">
        <f t="shared" si="5"/>
        <v>17.464253005743267</v>
      </c>
      <c r="T61" s="47">
        <f t="shared" si="6"/>
        <v>7.4127847359462731</v>
      </c>
      <c r="U61" s="47"/>
      <c r="V61" s="47"/>
      <c r="W61" s="47">
        <f t="shared" si="10"/>
        <v>8.4179315629259719</v>
      </c>
      <c r="X61" s="47">
        <f t="shared" si="10"/>
        <v>9.4230783899056725</v>
      </c>
      <c r="Y61" s="47">
        <f t="shared" si="10"/>
        <v>10.428225216885371</v>
      </c>
      <c r="Z61" s="47">
        <f t="shared" si="10"/>
        <v>11.43337204386507</v>
      </c>
      <c r="AA61" s="47">
        <f t="shared" si="10"/>
        <v>12.438518870844771</v>
      </c>
      <c r="AB61" s="47">
        <f t="shared" si="10"/>
        <v>13.44366569782447</v>
      </c>
      <c r="AC61" s="47">
        <f t="shared" si="10"/>
        <v>14.448812524804168</v>
      </c>
      <c r="AD61" s="47">
        <f t="shared" si="10"/>
        <v>15.453959351783867</v>
      </c>
      <c r="AE61" s="47">
        <f t="shared" si="10"/>
        <v>16.459106178763566</v>
      </c>
      <c r="AH61">
        <f t="shared" si="8"/>
        <v>0.5161116758405847</v>
      </c>
      <c r="AI61">
        <f t="shared" si="9"/>
        <v>-8.853715474095121E-2</v>
      </c>
      <c r="AJ61" s="34">
        <v>0.69711179318321193</v>
      </c>
      <c r="AK61" s="34">
        <v>0.46472487753095759</v>
      </c>
    </row>
    <row r="62" spans="19:37" x14ac:dyDescent="0.25">
      <c r="S62" s="47">
        <f t="shared" si="5"/>
        <v>11.037655731242053</v>
      </c>
      <c r="T62" s="47">
        <f t="shared" si="6"/>
        <v>-4.3985556651863478</v>
      </c>
      <c r="U62" s="47"/>
      <c r="V62" s="47"/>
      <c r="W62" s="47">
        <f t="shared" si="10"/>
        <v>-2.8549345255435075</v>
      </c>
      <c r="X62" s="47">
        <f t="shared" si="10"/>
        <v>-1.3113133859006676</v>
      </c>
      <c r="Y62" s="47">
        <f t="shared" si="10"/>
        <v>0.23230775374217272</v>
      </c>
      <c r="Z62" s="47">
        <f t="shared" si="10"/>
        <v>1.7759288933850126</v>
      </c>
      <c r="AA62" s="47">
        <f t="shared" si="10"/>
        <v>3.3195500330278525</v>
      </c>
      <c r="AB62" s="47">
        <f t="shared" si="10"/>
        <v>4.8631711726706923</v>
      </c>
      <c r="AC62" s="47">
        <f t="shared" si="10"/>
        <v>6.4067923123135317</v>
      </c>
      <c r="AD62" s="47">
        <f t="shared" si="10"/>
        <v>7.9504134519563712</v>
      </c>
      <c r="AE62" s="47">
        <f t="shared" si="10"/>
        <v>9.4940345915992115</v>
      </c>
      <c r="AH62">
        <f t="shared" si="8"/>
        <v>9.2193649818077331E-2</v>
      </c>
      <c r="AI62">
        <f t="shared" si="9"/>
        <v>-2.279880457362959</v>
      </c>
      <c r="AJ62" s="34">
        <v>0.53672790836507644</v>
      </c>
      <c r="AK62" s="34">
        <v>1.1307389708967164E-2</v>
      </c>
    </row>
    <row r="63" spans="19:37" x14ac:dyDescent="0.25">
      <c r="S63" s="47">
        <f t="shared" si="5"/>
        <v>-10.573823943125074</v>
      </c>
      <c r="T63" s="47">
        <f t="shared" si="6"/>
        <v>14.909546595593044</v>
      </c>
      <c r="U63" s="47"/>
      <c r="V63" s="47"/>
      <c r="W63" s="47">
        <f t="shared" si="10"/>
        <v>12.361209541721234</v>
      </c>
      <c r="X63" s="47">
        <f t="shared" si="10"/>
        <v>9.81287248784942</v>
      </c>
      <c r="Y63" s="47">
        <f t="shared" si="10"/>
        <v>7.2645354339776071</v>
      </c>
      <c r="Z63" s="47">
        <f t="shared" si="10"/>
        <v>4.716198380105797</v>
      </c>
      <c r="AA63" s="47">
        <f t="shared" si="10"/>
        <v>2.167861326233985</v>
      </c>
      <c r="AB63" s="47">
        <f t="shared" si="10"/>
        <v>-0.380475727637827</v>
      </c>
      <c r="AC63" s="47">
        <f t="shared" si="10"/>
        <v>-2.9288127815096372</v>
      </c>
      <c r="AD63" s="47">
        <f t="shared" si="10"/>
        <v>-5.4771498353814492</v>
      </c>
      <c r="AE63" s="47">
        <f t="shared" si="10"/>
        <v>-8.0254868892532603</v>
      </c>
      <c r="AH63">
        <f t="shared" si="8"/>
        <v>-1.3333656954567992</v>
      </c>
      <c r="AI63">
        <f t="shared" si="9"/>
        <v>1.3023277542844238</v>
      </c>
      <c r="AJ63" s="34">
        <v>9.1205912126093414E-2</v>
      </c>
      <c r="AK63" s="34">
        <v>0.90359781607988343</v>
      </c>
    </row>
    <row r="64" spans="19:37" x14ac:dyDescent="0.25">
      <c r="S64" s="47">
        <f t="shared" si="5"/>
        <v>33.058228795471678</v>
      </c>
      <c r="T64" s="47">
        <f t="shared" si="6"/>
        <v>6.4807394197369099</v>
      </c>
      <c r="U64" s="47"/>
      <c r="V64" s="47"/>
      <c r="W64" s="47">
        <f t="shared" si="10"/>
        <v>9.1384883573103863</v>
      </c>
      <c r="X64" s="47">
        <f t="shared" si="10"/>
        <v>11.796237294883865</v>
      </c>
      <c r="Y64" s="47">
        <f t="shared" si="10"/>
        <v>14.453986232457343</v>
      </c>
      <c r="Z64" s="47">
        <f t="shared" si="10"/>
        <v>17.111735170030819</v>
      </c>
      <c r="AA64" s="47">
        <f t="shared" si="10"/>
        <v>19.769484107604292</v>
      </c>
      <c r="AB64" s="47">
        <f t="shared" si="10"/>
        <v>22.427233045177772</v>
      </c>
      <c r="AC64" s="47">
        <f t="shared" si="10"/>
        <v>25.084981982751245</v>
      </c>
      <c r="AD64" s="47">
        <f t="shared" si="10"/>
        <v>27.742730920324725</v>
      </c>
      <c r="AE64" s="47">
        <f t="shared" si="10"/>
        <v>30.400479857898198</v>
      </c>
      <c r="AH64">
        <f t="shared" si="8"/>
        <v>1.5447380471947014</v>
      </c>
      <c r="AI64">
        <f t="shared" si="9"/>
        <v>-0.26145836368517439</v>
      </c>
      <c r="AJ64" s="34">
        <v>0.93879518102577897</v>
      </c>
      <c r="AK64" s="34">
        <v>0.39686952700099498</v>
      </c>
    </row>
    <row r="65" spans="19:37" x14ac:dyDescent="0.25">
      <c r="S65" s="47">
        <f t="shared" si="5"/>
        <v>7.4620538810782442</v>
      </c>
      <c r="T65" s="47">
        <f t="shared" si="6"/>
        <v>-3.9762678087532555</v>
      </c>
      <c r="U65" s="47"/>
      <c r="V65" s="47"/>
      <c r="W65" s="47">
        <f t="shared" si="10"/>
        <v>-2.8324356397701056</v>
      </c>
      <c r="X65" s="47">
        <f t="shared" si="10"/>
        <v>-1.6886034707869555</v>
      </c>
      <c r="Y65" s="47">
        <f t="shared" si="10"/>
        <v>-0.5447713018038054</v>
      </c>
      <c r="Z65" s="47">
        <f t="shared" si="10"/>
        <v>0.59906086717934448</v>
      </c>
      <c r="AA65" s="47">
        <f t="shared" si="10"/>
        <v>1.7428930361624944</v>
      </c>
      <c r="AB65" s="47">
        <f t="shared" si="10"/>
        <v>2.8867252051456438</v>
      </c>
      <c r="AC65" s="47">
        <f t="shared" si="10"/>
        <v>4.0305573741287937</v>
      </c>
      <c r="AD65" s="47">
        <f t="shared" si="10"/>
        <v>5.1743895431119435</v>
      </c>
      <c r="AE65" s="47">
        <f t="shared" si="10"/>
        <v>6.3182217120950934</v>
      </c>
      <c r="AH65">
        <f t="shared" si="8"/>
        <v>-0.14366399201330848</v>
      </c>
      <c r="AI65">
        <f t="shared" si="9"/>
        <v>-2.2015339162807526</v>
      </c>
      <c r="AJ65" s="34">
        <v>0.44288290319015589</v>
      </c>
      <c r="AK65" s="34">
        <v>1.3849124191024131E-2</v>
      </c>
    </row>
    <row r="66" spans="19:37" x14ac:dyDescent="0.25">
      <c r="S66" s="47">
        <f t="shared" si="5"/>
        <v>27.390666185471201</v>
      </c>
      <c r="T66" s="47">
        <f t="shared" si="6"/>
        <v>1.0611337135929428</v>
      </c>
      <c r="U66" s="47"/>
      <c r="V66" s="47"/>
      <c r="W66" s="47">
        <f t="shared" si="10"/>
        <v>3.6940869607807691</v>
      </c>
      <c r="X66" s="47">
        <f t="shared" si="10"/>
        <v>6.3270402079685955</v>
      </c>
      <c r="Y66" s="47">
        <f t="shared" si="10"/>
        <v>8.9599934551564218</v>
      </c>
      <c r="Z66" s="47">
        <f t="shared" si="10"/>
        <v>11.592946702344248</v>
      </c>
      <c r="AA66" s="47">
        <f t="shared" si="10"/>
        <v>14.225899949532071</v>
      </c>
      <c r="AB66" s="47">
        <f t="shared" si="10"/>
        <v>16.858853196719895</v>
      </c>
      <c r="AC66" s="47">
        <f t="shared" si="10"/>
        <v>19.491806443907723</v>
      </c>
      <c r="AD66" s="47">
        <f t="shared" si="10"/>
        <v>22.124759691095548</v>
      </c>
      <c r="AE66" s="47">
        <f t="shared" si="10"/>
        <v>24.757712938283372</v>
      </c>
      <c r="AH66">
        <f t="shared" si="8"/>
        <v>1.1708882708094459</v>
      </c>
      <c r="AI66">
        <f t="shared" si="9"/>
        <v>-1.2669510735449085</v>
      </c>
      <c r="AJ66" s="34">
        <v>0.87917815482806405</v>
      </c>
      <c r="AK66" s="34">
        <v>0.10258639243050605</v>
      </c>
    </row>
    <row r="67" spans="19:37" x14ac:dyDescent="0.25">
      <c r="S67" s="47">
        <f t="shared" si="5"/>
        <v>24.665125186951439</v>
      </c>
      <c r="T67" s="47">
        <f t="shared" si="6"/>
        <v>11.971110096365024</v>
      </c>
      <c r="U67" s="47"/>
      <c r="V67" s="47"/>
      <c r="W67" s="47">
        <f t="shared" si="10"/>
        <v>13.240511605423665</v>
      </c>
      <c r="X67" s="47">
        <f t="shared" si="10"/>
        <v>14.509913114482309</v>
      </c>
      <c r="Y67" s="47">
        <f t="shared" si="10"/>
        <v>15.779314623540948</v>
      </c>
      <c r="Z67" s="47">
        <f t="shared" si="10"/>
        <v>17.048716132599591</v>
      </c>
      <c r="AA67" s="47">
        <f t="shared" si="10"/>
        <v>18.318117641658233</v>
      </c>
      <c r="AB67" s="47">
        <f t="shared" si="10"/>
        <v>19.587519150716872</v>
      </c>
      <c r="AC67" s="47">
        <f t="shared" si="10"/>
        <v>20.856920659775511</v>
      </c>
      <c r="AD67" s="47">
        <f t="shared" si="10"/>
        <v>22.126322168834154</v>
      </c>
      <c r="AE67" s="47">
        <f t="shared" si="10"/>
        <v>23.395723677892796</v>
      </c>
      <c r="AH67">
        <f t="shared" si="8"/>
        <v>0.99110324452186271</v>
      </c>
      <c r="AI67">
        <f t="shared" si="9"/>
        <v>0.75716328318460557</v>
      </c>
      <c r="AJ67" s="34">
        <v>0.83918241556157058</v>
      </c>
      <c r="AK67" s="34">
        <v>0.77552397775936432</v>
      </c>
    </row>
    <row r="68" spans="19:37" x14ac:dyDescent="0.25">
      <c r="S68" s="47">
        <f t="shared" si="5"/>
        <v>-6.7920179805174854</v>
      </c>
      <c r="T68" s="47">
        <f t="shared" si="6"/>
        <v>15.948653032079125</v>
      </c>
      <c r="U68" s="47"/>
      <c r="V68" s="47"/>
      <c r="W68" s="47">
        <f t="shared" si="10"/>
        <v>13.674585930819465</v>
      </c>
      <c r="X68" s="47">
        <f t="shared" si="10"/>
        <v>11.400518829559804</v>
      </c>
      <c r="Y68" s="47">
        <f t="shared" si="10"/>
        <v>9.1264517283001414</v>
      </c>
      <c r="Z68" s="47">
        <f t="shared" si="10"/>
        <v>6.8523846270404807</v>
      </c>
      <c r="AA68" s="47">
        <f t="shared" si="10"/>
        <v>4.57831752578082</v>
      </c>
      <c r="AB68" s="47">
        <f t="shared" si="10"/>
        <v>2.3042504245211592</v>
      </c>
      <c r="AC68" s="47">
        <f t="shared" si="10"/>
        <v>3.0183323261499417E-2</v>
      </c>
      <c r="AD68" s="47">
        <f t="shared" si="10"/>
        <v>-2.2438837779981622</v>
      </c>
      <c r="AE68" s="47">
        <f t="shared" si="10"/>
        <v>-4.5179508792578229</v>
      </c>
      <c r="AH68">
        <f t="shared" si="8"/>
        <v>-1.0839061992425782</v>
      </c>
      <c r="AI68">
        <f t="shared" si="9"/>
        <v>1.495111879792046</v>
      </c>
      <c r="AJ68" s="34">
        <v>0.13920319534889436</v>
      </c>
      <c r="AK68" s="34">
        <v>0.93255737701370078</v>
      </c>
    </row>
    <row r="69" spans="19:37" x14ac:dyDescent="0.25">
      <c r="S69" s="47">
        <f t="shared" si="5"/>
        <v>12.028381668634172</v>
      </c>
      <c r="T69" s="47">
        <f t="shared" si="6"/>
        <v>0.64259352825716221</v>
      </c>
      <c r="U69" s="47"/>
      <c r="V69" s="47"/>
      <c r="W69" s="47">
        <f t="shared" si="10"/>
        <v>1.7811723422948633</v>
      </c>
      <c r="X69" s="47">
        <f t="shared" si="10"/>
        <v>2.919751156332564</v>
      </c>
      <c r="Y69" s="47">
        <f t="shared" si="10"/>
        <v>4.0583299703702655</v>
      </c>
      <c r="Z69" s="47">
        <f t="shared" si="10"/>
        <v>5.1969087844079658</v>
      </c>
      <c r="AA69" s="47">
        <f t="shared" si="10"/>
        <v>6.3354875984456669</v>
      </c>
      <c r="AB69" s="47">
        <f t="shared" si="10"/>
        <v>7.474066412483368</v>
      </c>
      <c r="AC69" s="47">
        <f t="shared" si="10"/>
        <v>8.6126452265210691</v>
      </c>
      <c r="AD69" s="47">
        <f t="shared" si="10"/>
        <v>9.7512240405587693</v>
      </c>
      <c r="AE69" s="47">
        <f t="shared" si="10"/>
        <v>10.88980285459647</v>
      </c>
      <c r="AH69">
        <f t="shared" si="8"/>
        <v>0.15754496494948356</v>
      </c>
      <c r="AI69">
        <f t="shared" si="9"/>
        <v>-1.3446023138669458</v>
      </c>
      <c r="AJ69" s="34">
        <v>0.56259231329147308</v>
      </c>
      <c r="AK69" s="34">
        <v>8.9376847868110731E-2</v>
      </c>
    </row>
    <row r="70" spans="19:37" x14ac:dyDescent="0.25">
      <c r="S70" s="47">
        <f t="shared" si="5"/>
        <v>23.306592088686997</v>
      </c>
      <c r="T70" s="47">
        <f t="shared" si="6"/>
        <v>9.5911535439633191</v>
      </c>
      <c r="U70" s="47"/>
      <c r="V70" s="47"/>
      <c r="W70" s="47">
        <f t="shared" si="10"/>
        <v>10.962697398435687</v>
      </c>
      <c r="X70" s="47">
        <f t="shared" si="10"/>
        <v>12.334241252908056</v>
      </c>
      <c r="Y70" s="47">
        <f t="shared" si="10"/>
        <v>13.705785107380423</v>
      </c>
      <c r="Z70" s="47">
        <f t="shared" si="10"/>
        <v>15.077328961852791</v>
      </c>
      <c r="AA70" s="47">
        <f t="shared" si="10"/>
        <v>16.448872816325157</v>
      </c>
      <c r="AB70" s="47">
        <f t="shared" si="10"/>
        <v>17.820416670797528</v>
      </c>
      <c r="AC70" s="47">
        <f t="shared" si="10"/>
        <v>19.191960525269891</v>
      </c>
      <c r="AD70" s="47">
        <f t="shared" si="10"/>
        <v>20.563504379742259</v>
      </c>
      <c r="AE70" s="47">
        <f t="shared" si="10"/>
        <v>21.935048234214626</v>
      </c>
      <c r="AH70">
        <f t="shared" si="8"/>
        <v>0.90149024331708416</v>
      </c>
      <c r="AI70">
        <f t="shared" si="9"/>
        <v>0.31561290240506856</v>
      </c>
      <c r="AJ70" s="34">
        <v>0.81633614047293235</v>
      </c>
      <c r="AK70" s="34">
        <v>0.62385182839749775</v>
      </c>
    </row>
    <row r="71" spans="19:37" x14ac:dyDescent="0.25">
      <c r="S71" s="47">
        <f t="shared" si="5"/>
        <v>9.5818999751352525</v>
      </c>
      <c r="T71" s="47">
        <f t="shared" si="6"/>
        <v>8.1279879242349811</v>
      </c>
      <c r="U71" s="47"/>
      <c r="V71" s="47"/>
      <c r="W71" s="47">
        <f t="shared" si="10"/>
        <v>8.2733791293250079</v>
      </c>
      <c r="X71" s="47">
        <f t="shared" si="10"/>
        <v>8.4187703344150364</v>
      </c>
      <c r="Y71" s="47">
        <f t="shared" si="10"/>
        <v>8.5641615395050614</v>
      </c>
      <c r="Z71" s="47">
        <f t="shared" ref="X71:AE103" si="11">$S71*Z$7+$T71*Z$8</f>
        <v>8.70955274459509</v>
      </c>
      <c r="AA71" s="47">
        <f t="shared" si="11"/>
        <v>8.8549439496851168</v>
      </c>
      <c r="AB71" s="47">
        <f t="shared" si="11"/>
        <v>9.0003351547751436</v>
      </c>
      <c r="AC71" s="47">
        <f t="shared" si="11"/>
        <v>9.1457263598651721</v>
      </c>
      <c r="AD71" s="47">
        <f t="shared" si="11"/>
        <v>9.2911175649551989</v>
      </c>
      <c r="AE71" s="47">
        <f t="shared" si="11"/>
        <v>9.4365087700452239</v>
      </c>
      <c r="AH71">
        <f t="shared" si="8"/>
        <v>-3.8324554660123617E-3</v>
      </c>
      <c r="AI71">
        <f t="shared" si="9"/>
        <v>4.4153603754171024E-2</v>
      </c>
      <c r="AJ71" s="34">
        <v>0.49847107521958822</v>
      </c>
      <c r="AK71" s="34">
        <v>0.51760901760099565</v>
      </c>
    </row>
    <row r="72" spans="19:37" x14ac:dyDescent="0.25">
      <c r="S72" s="47">
        <f t="shared" si="5"/>
        <v>-0.35427601539252329</v>
      </c>
      <c r="T72" s="47">
        <f t="shared" si="6"/>
        <v>11.122634274519653</v>
      </c>
      <c r="U72" s="47"/>
      <c r="V72" s="47"/>
      <c r="W72" s="47">
        <f t="shared" ref="W72:AE135" si="12">$S72*W$7+$T72*W$8</f>
        <v>9.9749432455284346</v>
      </c>
      <c r="X72" s="47">
        <f t="shared" si="11"/>
        <v>8.827252216537218</v>
      </c>
      <c r="Y72" s="47">
        <f t="shared" si="11"/>
        <v>7.6795611875459997</v>
      </c>
      <c r="Z72" s="47">
        <f t="shared" si="11"/>
        <v>6.5318701585547823</v>
      </c>
      <c r="AA72" s="47">
        <f t="shared" si="11"/>
        <v>5.3841791295635648</v>
      </c>
      <c r="AB72" s="47">
        <f t="shared" si="11"/>
        <v>4.2364881005723474</v>
      </c>
      <c r="AC72" s="47">
        <f t="shared" si="11"/>
        <v>3.0887970715811304</v>
      </c>
      <c r="AD72" s="47">
        <f t="shared" si="11"/>
        <v>1.9411060425899125</v>
      </c>
      <c r="AE72" s="47">
        <f t="shared" si="11"/>
        <v>0.79341501359869526</v>
      </c>
      <c r="AH72">
        <f t="shared" si="8"/>
        <v>-0.65925303531612955</v>
      </c>
      <c r="AI72">
        <f t="shared" si="9"/>
        <v>0.59974661864928624</v>
      </c>
      <c r="AJ72" s="34">
        <v>0.25486664766772649</v>
      </c>
      <c r="AK72" s="34">
        <v>0.72566244293241622</v>
      </c>
    </row>
    <row r="73" spans="19:37" x14ac:dyDescent="0.25">
      <c r="S73" s="47">
        <f t="shared" si="5"/>
        <v>1.1671780999324071</v>
      </c>
      <c r="T73" s="47">
        <f t="shared" si="6"/>
        <v>11.050885823003366</v>
      </c>
      <c r="U73" s="47"/>
      <c r="V73" s="47"/>
      <c r="W73" s="47">
        <f t="shared" si="12"/>
        <v>10.06251505069627</v>
      </c>
      <c r="X73" s="47">
        <f t="shared" si="11"/>
        <v>9.0741442783891753</v>
      </c>
      <c r="Y73" s="47">
        <f t="shared" si="11"/>
        <v>8.0857735060820772</v>
      </c>
      <c r="Z73" s="47">
        <f t="shared" si="11"/>
        <v>7.0974027337749819</v>
      </c>
      <c r="AA73" s="47">
        <f t="shared" si="11"/>
        <v>6.1090319614678865</v>
      </c>
      <c r="AB73" s="47">
        <f t="shared" si="11"/>
        <v>5.1206611891607912</v>
      </c>
      <c r="AC73" s="47">
        <f t="shared" si="11"/>
        <v>4.1322904168536958</v>
      </c>
      <c r="AD73" s="47">
        <f t="shared" si="11"/>
        <v>3.1439196445465996</v>
      </c>
      <c r="AE73" s="47">
        <f t="shared" si="11"/>
        <v>2.1555488722395038</v>
      </c>
      <c r="AH73">
        <f t="shared" si="8"/>
        <v>-0.55889326517596261</v>
      </c>
      <c r="AI73">
        <f t="shared" si="9"/>
        <v>0.58643521762585638</v>
      </c>
      <c r="AJ73" s="34">
        <v>0.28811728301249873</v>
      </c>
      <c r="AK73" s="34">
        <v>0.72120845815976542</v>
      </c>
    </row>
    <row r="74" spans="19:37" x14ac:dyDescent="0.25">
      <c r="S74" s="47">
        <f t="shared" si="5"/>
        <v>7.4113964504177341</v>
      </c>
      <c r="T74" s="47">
        <f t="shared" si="6"/>
        <v>4.6159000106163566</v>
      </c>
      <c r="U74" s="47"/>
      <c r="V74" s="47"/>
      <c r="W74" s="47">
        <f t="shared" si="12"/>
        <v>4.8954496545964945</v>
      </c>
      <c r="X74" s="47">
        <f t="shared" si="11"/>
        <v>5.1749992985766324</v>
      </c>
      <c r="Y74" s="47">
        <f t="shared" si="11"/>
        <v>5.4545489425567695</v>
      </c>
      <c r="Z74" s="47">
        <f t="shared" si="11"/>
        <v>5.7340985865369074</v>
      </c>
      <c r="AA74" s="47">
        <f t="shared" si="11"/>
        <v>6.0136482305170453</v>
      </c>
      <c r="AB74" s="47">
        <f t="shared" si="11"/>
        <v>6.2931978744971824</v>
      </c>
      <c r="AC74" s="47">
        <f t="shared" si="11"/>
        <v>6.5727475184773203</v>
      </c>
      <c r="AD74" s="47">
        <f t="shared" si="11"/>
        <v>6.8522971624574582</v>
      </c>
      <c r="AE74" s="47">
        <f t="shared" si="11"/>
        <v>7.1318468064375962</v>
      </c>
      <c r="AH74">
        <f t="shared" si="8"/>
        <v>-0.14700551118616534</v>
      </c>
      <c r="AI74">
        <f t="shared" si="9"/>
        <v>-0.60743970118434942</v>
      </c>
      <c r="AJ74" s="34">
        <v>0.44156383514331665</v>
      </c>
      <c r="AK74" s="34">
        <v>0.27177957395611074</v>
      </c>
    </row>
    <row r="75" spans="19:37" x14ac:dyDescent="0.25">
      <c r="S75" s="47">
        <f t="shared" ref="S75:S138" si="13">9.64+15.16*AH75</f>
        <v>6.9740239906374342</v>
      </c>
      <c r="T75" s="47">
        <f t="shared" ref="T75:T138" si="14">7.89+5.39*AI75</f>
        <v>6.5563039431326882</v>
      </c>
      <c r="U75" s="47"/>
      <c r="V75" s="47"/>
      <c r="W75" s="47">
        <f t="shared" si="12"/>
        <v>6.5980759478831628</v>
      </c>
      <c r="X75" s="47">
        <f t="shared" si="11"/>
        <v>6.6398479526336374</v>
      </c>
      <c r="Y75" s="47">
        <f t="shared" si="11"/>
        <v>6.681619957384112</v>
      </c>
      <c r="Z75" s="47">
        <f t="shared" si="11"/>
        <v>6.7233919621345866</v>
      </c>
      <c r="AA75" s="47">
        <f t="shared" si="11"/>
        <v>6.7651639668850612</v>
      </c>
      <c r="AB75" s="47">
        <f t="shared" si="11"/>
        <v>6.8069359716355358</v>
      </c>
      <c r="AC75" s="47">
        <f t="shared" si="11"/>
        <v>6.8487079763860104</v>
      </c>
      <c r="AD75" s="47">
        <f t="shared" si="11"/>
        <v>6.890479981136485</v>
      </c>
      <c r="AE75" s="47">
        <f t="shared" si="11"/>
        <v>6.9322519858869596</v>
      </c>
      <c r="AH75">
        <f t="shared" ref="AH75:AH138" si="15">_xlfn.NORM.S.INV(AJ75)</f>
        <v>-0.1758559372930453</v>
      </c>
      <c r="AI75">
        <f t="shared" ref="AI75:AI138" si="16">_xlfn.NORM.S.INV(AK75)</f>
        <v>-0.24743897158948261</v>
      </c>
      <c r="AJ75" s="34">
        <v>0.43020356136592341</v>
      </c>
      <c r="AK75" s="34">
        <v>0.40228425834736292</v>
      </c>
    </row>
    <row r="76" spans="19:37" x14ac:dyDescent="0.25">
      <c r="S76" s="47">
        <f t="shared" si="13"/>
        <v>-13.899275824527276</v>
      </c>
      <c r="T76" s="47">
        <f t="shared" si="14"/>
        <v>1.5378258012604693</v>
      </c>
      <c r="U76" s="47"/>
      <c r="V76" s="47"/>
      <c r="W76" s="47">
        <f t="shared" si="12"/>
        <v>-5.8843613183052756E-3</v>
      </c>
      <c r="X76" s="47">
        <f t="shared" si="11"/>
        <v>-1.5495945238970799</v>
      </c>
      <c r="Y76" s="47">
        <f t="shared" si="11"/>
        <v>-3.0933046864758547</v>
      </c>
      <c r="Z76" s="47">
        <f t="shared" si="11"/>
        <v>-4.6370148490546299</v>
      </c>
      <c r="AA76" s="47">
        <f t="shared" si="11"/>
        <v>-6.1807250116334034</v>
      </c>
      <c r="AB76" s="47">
        <f t="shared" si="11"/>
        <v>-7.7244351742121786</v>
      </c>
      <c r="AC76" s="47">
        <f t="shared" si="11"/>
        <v>-9.2681453367909512</v>
      </c>
      <c r="AD76" s="47">
        <f t="shared" si="11"/>
        <v>-10.811855499369726</v>
      </c>
      <c r="AE76" s="47">
        <f t="shared" si="11"/>
        <v>-12.355565661948502</v>
      </c>
      <c r="AH76">
        <f t="shared" si="15"/>
        <v>-1.5527226797181581</v>
      </c>
      <c r="AI76">
        <f t="shared" si="16"/>
        <v>-1.1785109830685585</v>
      </c>
      <c r="AJ76" s="34">
        <v>6.0244700822730923E-2</v>
      </c>
      <c r="AK76" s="34">
        <v>0.1192964781889061</v>
      </c>
    </row>
    <row r="77" spans="19:37" x14ac:dyDescent="0.25">
      <c r="S77" s="47">
        <f t="shared" si="13"/>
        <v>1.5726988182784662</v>
      </c>
      <c r="T77" s="47">
        <f t="shared" si="14"/>
        <v>4.6835723778923484</v>
      </c>
      <c r="U77" s="47"/>
      <c r="V77" s="47"/>
      <c r="W77" s="47">
        <f t="shared" si="12"/>
        <v>4.3724850219309603</v>
      </c>
      <c r="X77" s="47">
        <f t="shared" si="11"/>
        <v>4.0613976659695723</v>
      </c>
      <c r="Y77" s="47">
        <f t="shared" si="11"/>
        <v>3.7503103100081834</v>
      </c>
      <c r="Z77" s="47">
        <f t="shared" si="11"/>
        <v>3.4392229540467953</v>
      </c>
      <c r="AA77" s="47">
        <f t="shared" si="11"/>
        <v>3.1281355980854073</v>
      </c>
      <c r="AB77" s="47">
        <f t="shared" si="11"/>
        <v>2.8170482421240193</v>
      </c>
      <c r="AC77" s="47">
        <f t="shared" si="11"/>
        <v>2.5059608861626312</v>
      </c>
      <c r="AD77" s="47">
        <f t="shared" si="11"/>
        <v>2.1948735302012432</v>
      </c>
      <c r="AE77" s="47">
        <f t="shared" si="11"/>
        <v>1.8837861742398547</v>
      </c>
      <c r="AH77">
        <f t="shared" si="15"/>
        <v>-0.53214387742226477</v>
      </c>
      <c r="AI77">
        <f t="shared" si="16"/>
        <v>-0.59488453100327476</v>
      </c>
      <c r="AJ77" s="34">
        <v>0.29731317494285348</v>
      </c>
      <c r="AK77" s="34">
        <v>0.27596032905081469</v>
      </c>
    </row>
    <row r="78" spans="19:37" x14ac:dyDescent="0.25">
      <c r="S78" s="47">
        <f t="shared" si="13"/>
        <v>3.5153172068371932</v>
      </c>
      <c r="T78" s="47">
        <f t="shared" si="14"/>
        <v>18.767731692488415</v>
      </c>
      <c r="U78" s="47"/>
      <c r="V78" s="47"/>
      <c r="W78" s="47">
        <f t="shared" si="12"/>
        <v>17.242490243923292</v>
      </c>
      <c r="X78" s="47">
        <f t="shared" si="11"/>
        <v>15.717248795358172</v>
      </c>
      <c r="Y78" s="47">
        <f t="shared" si="11"/>
        <v>14.192007346793048</v>
      </c>
      <c r="Z78" s="47">
        <f t="shared" si="11"/>
        <v>12.666765898227926</v>
      </c>
      <c r="AA78" s="47">
        <f t="shared" si="11"/>
        <v>11.141524449662803</v>
      </c>
      <c r="AB78" s="47">
        <f t="shared" si="11"/>
        <v>9.616283001097683</v>
      </c>
      <c r="AC78" s="47">
        <f t="shared" si="11"/>
        <v>8.091041552532559</v>
      </c>
      <c r="AD78" s="47">
        <f t="shared" si="11"/>
        <v>6.5658001039674385</v>
      </c>
      <c r="AE78" s="47">
        <f t="shared" si="11"/>
        <v>5.0405586554023163</v>
      </c>
      <c r="AH78">
        <f t="shared" si="15"/>
        <v>-0.40400282276799521</v>
      </c>
      <c r="AI78">
        <f t="shared" si="16"/>
        <v>2.0181320394227114</v>
      </c>
      <c r="AJ78" s="34">
        <v>0.34310532171780816</v>
      </c>
      <c r="AK78" s="34">
        <v>0.97821124416607208</v>
      </c>
    </row>
    <row r="79" spans="19:37" x14ac:dyDescent="0.25">
      <c r="S79" s="47">
        <f t="shared" si="13"/>
        <v>21.671729014213334</v>
      </c>
      <c r="T79" s="47">
        <f t="shared" si="14"/>
        <v>5.6694083765370689</v>
      </c>
      <c r="U79" s="47"/>
      <c r="V79" s="47"/>
      <c r="W79" s="47">
        <f t="shared" si="12"/>
        <v>7.2696404403046948</v>
      </c>
      <c r="X79" s="47">
        <f t="shared" si="11"/>
        <v>8.8698725040723225</v>
      </c>
      <c r="Y79" s="47">
        <f t="shared" si="11"/>
        <v>10.470104567839948</v>
      </c>
      <c r="Z79" s="47">
        <f t="shared" si="11"/>
        <v>12.070336631607574</v>
      </c>
      <c r="AA79" s="47">
        <f t="shared" si="11"/>
        <v>13.670568695375202</v>
      </c>
      <c r="AB79" s="47">
        <f t="shared" si="11"/>
        <v>15.270800759142828</v>
      </c>
      <c r="AC79" s="47">
        <f t="shared" si="11"/>
        <v>16.871032822910454</v>
      </c>
      <c r="AD79" s="47">
        <f t="shared" si="11"/>
        <v>18.471264886678078</v>
      </c>
      <c r="AE79" s="47">
        <f t="shared" si="11"/>
        <v>20.071496950445706</v>
      </c>
      <c r="AH79">
        <f t="shared" si="15"/>
        <v>0.79364967112225149</v>
      </c>
      <c r="AI79">
        <f t="shared" si="16"/>
        <v>-0.41198360361093328</v>
      </c>
      <c r="AJ79" s="34">
        <v>0.78630029635266485</v>
      </c>
      <c r="AK79" s="34">
        <v>0.34017572058870671</v>
      </c>
    </row>
    <row r="80" spans="19:37" x14ac:dyDescent="0.25">
      <c r="S80" s="47">
        <f t="shared" si="13"/>
        <v>18.561476387288607</v>
      </c>
      <c r="T80" s="47">
        <f t="shared" si="14"/>
        <v>8.5289457710535324</v>
      </c>
      <c r="U80" s="47"/>
      <c r="V80" s="47"/>
      <c r="W80" s="47">
        <f t="shared" si="12"/>
        <v>9.5321988326770395</v>
      </c>
      <c r="X80" s="47">
        <f t="shared" si="11"/>
        <v>10.535451894300548</v>
      </c>
      <c r="Y80" s="47">
        <f t="shared" si="11"/>
        <v>11.538704955924054</v>
      </c>
      <c r="Z80" s="47">
        <f t="shared" si="11"/>
        <v>12.541958017547563</v>
      </c>
      <c r="AA80" s="47">
        <f t="shared" si="11"/>
        <v>13.54521107917107</v>
      </c>
      <c r="AB80" s="47">
        <f t="shared" si="11"/>
        <v>14.548464140794577</v>
      </c>
      <c r="AC80" s="47">
        <f t="shared" si="11"/>
        <v>15.551717202418084</v>
      </c>
      <c r="AD80" s="47">
        <f t="shared" si="11"/>
        <v>16.554970264041593</v>
      </c>
      <c r="AE80" s="47">
        <f t="shared" si="11"/>
        <v>17.558223325665097</v>
      </c>
      <c r="AH80">
        <f t="shared" si="15"/>
        <v>0.58848788834357546</v>
      </c>
      <c r="AI80">
        <f t="shared" si="16"/>
        <v>0.11854281466670374</v>
      </c>
      <c r="AJ80" s="34">
        <v>0.7218975694808839</v>
      </c>
      <c r="AK80" s="34">
        <v>0.54718121348454707</v>
      </c>
    </row>
    <row r="81" spans="19:37" x14ac:dyDescent="0.25">
      <c r="S81" s="47">
        <f t="shared" si="13"/>
        <v>23.565263165661428</v>
      </c>
      <c r="T81" s="47">
        <f t="shared" si="14"/>
        <v>6.5708524568004805</v>
      </c>
      <c r="U81" s="47"/>
      <c r="V81" s="47"/>
      <c r="W81" s="47">
        <f t="shared" si="12"/>
        <v>8.2702935276865759</v>
      </c>
      <c r="X81" s="47">
        <f t="shared" si="11"/>
        <v>9.9697345985726713</v>
      </c>
      <c r="Y81" s="47">
        <f t="shared" si="11"/>
        <v>11.669175669458765</v>
      </c>
      <c r="Z81" s="47">
        <f t="shared" si="11"/>
        <v>13.368616740344859</v>
      </c>
      <c r="AA81" s="47">
        <f t="shared" si="11"/>
        <v>15.068057811230954</v>
      </c>
      <c r="AB81" s="47">
        <f t="shared" si="11"/>
        <v>16.767498882117049</v>
      </c>
      <c r="AC81" s="47">
        <f t="shared" si="11"/>
        <v>18.466939953003145</v>
      </c>
      <c r="AD81" s="47">
        <f t="shared" si="11"/>
        <v>20.166381023889237</v>
      </c>
      <c r="AE81" s="47">
        <f t="shared" si="11"/>
        <v>21.865822094775329</v>
      </c>
      <c r="AH81">
        <f t="shared" si="15"/>
        <v>0.91855297926526569</v>
      </c>
      <c r="AI81">
        <f t="shared" si="16"/>
        <v>-0.24473980393312048</v>
      </c>
      <c r="AJ81" s="34">
        <v>0.82083528204470668</v>
      </c>
      <c r="AK81" s="34">
        <v>0.40332895299374139</v>
      </c>
    </row>
    <row r="82" spans="19:37" x14ac:dyDescent="0.25">
      <c r="S82" s="47">
        <f t="shared" si="13"/>
        <v>25.101646255734515</v>
      </c>
      <c r="T82" s="47">
        <f t="shared" si="14"/>
        <v>7.2302640678290482</v>
      </c>
      <c r="U82" s="47"/>
      <c r="V82" s="47"/>
      <c r="W82" s="47">
        <f t="shared" si="12"/>
        <v>9.0174022866195944</v>
      </c>
      <c r="X82" s="47">
        <f t="shared" si="11"/>
        <v>10.804540505410142</v>
      </c>
      <c r="Y82" s="47">
        <f t="shared" si="11"/>
        <v>12.59167872420069</v>
      </c>
      <c r="Z82" s="47">
        <f t="shared" si="11"/>
        <v>14.378816942991236</v>
      </c>
      <c r="AA82" s="47">
        <f t="shared" si="11"/>
        <v>16.165955161781781</v>
      </c>
      <c r="AB82" s="47">
        <f t="shared" si="11"/>
        <v>17.953093380572327</v>
      </c>
      <c r="AC82" s="47">
        <f t="shared" si="11"/>
        <v>19.740231599362872</v>
      </c>
      <c r="AD82" s="47">
        <f t="shared" si="11"/>
        <v>21.527369818153421</v>
      </c>
      <c r="AE82" s="47">
        <f t="shared" si="11"/>
        <v>23.31450803694397</v>
      </c>
      <c r="AH82">
        <f t="shared" si="15"/>
        <v>1.0198975102727252</v>
      </c>
      <c r="AI82">
        <f t="shared" si="16"/>
        <v>-0.12239998741576101</v>
      </c>
      <c r="AJ82" s="34">
        <v>0.84611146476783006</v>
      </c>
      <c r="AK82" s="34">
        <v>0.45129112423858186</v>
      </c>
    </row>
    <row r="83" spans="19:37" x14ac:dyDescent="0.25">
      <c r="S83" s="47">
        <f t="shared" si="13"/>
        <v>-9.511948806352919</v>
      </c>
      <c r="T83" s="47">
        <f t="shared" si="14"/>
        <v>6.0844407476363642</v>
      </c>
      <c r="U83" s="47"/>
      <c r="V83" s="47"/>
      <c r="W83" s="47">
        <f t="shared" si="12"/>
        <v>4.5248017922374357</v>
      </c>
      <c r="X83" s="47">
        <f t="shared" si="11"/>
        <v>2.9651628368385081</v>
      </c>
      <c r="Y83" s="47">
        <f t="shared" si="11"/>
        <v>1.4055238814395783</v>
      </c>
      <c r="Z83" s="47">
        <f t="shared" si="11"/>
        <v>-0.15411507395934931</v>
      </c>
      <c r="AA83" s="47">
        <f t="shared" si="11"/>
        <v>-1.7137540293582774</v>
      </c>
      <c r="AB83" s="47">
        <f t="shared" si="11"/>
        <v>-3.2733929847572054</v>
      </c>
      <c r="AC83" s="47">
        <f t="shared" si="11"/>
        <v>-4.8330319401561335</v>
      </c>
      <c r="AD83" s="47">
        <f t="shared" si="11"/>
        <v>-6.3926708955550611</v>
      </c>
      <c r="AE83" s="47">
        <f t="shared" si="11"/>
        <v>-7.9523098509539905</v>
      </c>
      <c r="AH83">
        <f t="shared" si="15"/>
        <v>-1.2633211613689261</v>
      </c>
      <c r="AI83">
        <f t="shared" si="16"/>
        <v>-0.33498316370382852</v>
      </c>
      <c r="AJ83" s="34">
        <v>0.10323689212720166</v>
      </c>
      <c r="AK83" s="34">
        <v>0.36881889332479201</v>
      </c>
    </row>
    <row r="84" spans="19:37" x14ac:dyDescent="0.25">
      <c r="S84" s="47">
        <f t="shared" si="13"/>
        <v>20.386544120864482</v>
      </c>
      <c r="T84" s="47">
        <f t="shared" si="14"/>
        <v>13.023625622238109</v>
      </c>
      <c r="U84" s="47"/>
      <c r="V84" s="47"/>
      <c r="W84" s="47">
        <f t="shared" si="12"/>
        <v>13.759917472100746</v>
      </c>
      <c r="X84" s="47">
        <f t="shared" si="11"/>
        <v>14.496209321963384</v>
      </c>
      <c r="Y84" s="47">
        <f t="shared" si="11"/>
        <v>15.232501171826021</v>
      </c>
      <c r="Z84" s="47">
        <f t="shared" si="11"/>
        <v>15.968793021688658</v>
      </c>
      <c r="AA84" s="47">
        <f t="shared" si="11"/>
        <v>16.705084871551296</v>
      </c>
      <c r="AB84" s="47">
        <f t="shared" si="11"/>
        <v>17.441376721413931</v>
      </c>
      <c r="AC84" s="47">
        <f t="shared" si="11"/>
        <v>18.17766857127657</v>
      </c>
      <c r="AD84" s="47">
        <f t="shared" si="11"/>
        <v>18.913960421139205</v>
      </c>
      <c r="AE84" s="47">
        <f t="shared" si="11"/>
        <v>19.650252271001843</v>
      </c>
      <c r="AH84">
        <f t="shared" si="15"/>
        <v>0.70887494200953038</v>
      </c>
      <c r="AI84">
        <f t="shared" si="16"/>
        <v>0.95243518037812791</v>
      </c>
      <c r="AJ84" s="34">
        <v>0.76079895682208476</v>
      </c>
      <c r="AK84" s="34">
        <v>0.82956183762850633</v>
      </c>
    </row>
    <row r="85" spans="19:37" x14ac:dyDescent="0.25">
      <c r="S85" s="47">
        <f t="shared" si="13"/>
        <v>18.398940275534642</v>
      </c>
      <c r="T85" s="47">
        <f t="shared" si="14"/>
        <v>18.905295000584129</v>
      </c>
      <c r="U85" s="47"/>
      <c r="V85" s="47"/>
      <c r="W85" s="47">
        <f t="shared" si="12"/>
        <v>18.854659528079178</v>
      </c>
      <c r="X85" s="47">
        <f t="shared" si="11"/>
        <v>18.804024055574232</v>
      </c>
      <c r="Y85" s="47">
        <f t="shared" si="11"/>
        <v>18.753388583069281</v>
      </c>
      <c r="Z85" s="47">
        <f t="shared" si="11"/>
        <v>18.702753110564334</v>
      </c>
      <c r="AA85" s="47">
        <f t="shared" si="11"/>
        <v>18.652117638059387</v>
      </c>
      <c r="AB85" s="47">
        <f t="shared" si="11"/>
        <v>18.601482165554437</v>
      </c>
      <c r="AC85" s="47">
        <f t="shared" si="11"/>
        <v>18.550846693049486</v>
      </c>
      <c r="AD85" s="47">
        <f t="shared" si="11"/>
        <v>18.500211220544539</v>
      </c>
      <c r="AE85" s="47">
        <f t="shared" si="11"/>
        <v>18.449575748039589</v>
      </c>
      <c r="AH85">
        <f t="shared" si="15"/>
        <v>0.57776650894027992</v>
      </c>
      <c r="AI85">
        <f t="shared" si="16"/>
        <v>2.0436539889766472</v>
      </c>
      <c r="AJ85" s="34">
        <v>0.71828911534273587</v>
      </c>
      <c r="AK85" s="34">
        <v>0.9795061291740319</v>
      </c>
    </row>
    <row r="86" spans="19:37" x14ac:dyDescent="0.25">
      <c r="S86" s="47">
        <f t="shared" si="13"/>
        <v>17.51835748394344</v>
      </c>
      <c r="T86" s="47">
        <f t="shared" si="14"/>
        <v>9.9592395803035672</v>
      </c>
      <c r="U86" s="47"/>
      <c r="V86" s="47"/>
      <c r="W86" s="47">
        <f t="shared" si="12"/>
        <v>10.715151370667554</v>
      </c>
      <c r="X86" s="47">
        <f t="shared" si="11"/>
        <v>11.471063161031541</v>
      </c>
      <c r="Y86" s="47">
        <f t="shared" si="11"/>
        <v>12.22697495139553</v>
      </c>
      <c r="Z86" s="47">
        <f t="shared" si="11"/>
        <v>12.982886741759517</v>
      </c>
      <c r="AA86" s="47">
        <f t="shared" si="11"/>
        <v>13.738798532123504</v>
      </c>
      <c r="AB86" s="47">
        <f t="shared" si="11"/>
        <v>14.49471032248749</v>
      </c>
      <c r="AC86" s="47">
        <f t="shared" si="11"/>
        <v>15.250622112851477</v>
      </c>
      <c r="AD86" s="47">
        <f t="shared" si="11"/>
        <v>16.006533903215466</v>
      </c>
      <c r="AE86" s="47">
        <f t="shared" si="11"/>
        <v>16.762445693579451</v>
      </c>
      <c r="AH86">
        <f t="shared" si="15"/>
        <v>0.5196805728194881</v>
      </c>
      <c r="AI86">
        <f t="shared" si="16"/>
        <v>0.38390344718062497</v>
      </c>
      <c r="AJ86" s="34">
        <v>0.69835688522855799</v>
      </c>
      <c r="AK86" s="34">
        <v>0.64947499434959066</v>
      </c>
    </row>
    <row r="87" spans="19:37" x14ac:dyDescent="0.25">
      <c r="S87" s="47">
        <f t="shared" si="13"/>
        <v>22.061312488403999</v>
      </c>
      <c r="T87" s="47">
        <f t="shared" si="14"/>
        <v>0.16397124027611731</v>
      </c>
      <c r="U87" s="47"/>
      <c r="V87" s="47"/>
      <c r="W87" s="47">
        <f t="shared" si="12"/>
        <v>2.3537053650889055</v>
      </c>
      <c r="X87" s="47">
        <f t="shared" si="11"/>
        <v>4.5434394899016937</v>
      </c>
      <c r="Y87" s="47">
        <f t="shared" si="11"/>
        <v>6.7331736147144827</v>
      </c>
      <c r="Z87" s="47">
        <f t="shared" si="11"/>
        <v>8.92290773952727</v>
      </c>
      <c r="AA87" s="47">
        <f t="shared" si="11"/>
        <v>11.112641864340059</v>
      </c>
      <c r="AB87" s="47">
        <f t="shared" si="11"/>
        <v>13.302375989152846</v>
      </c>
      <c r="AC87" s="47">
        <f t="shared" si="11"/>
        <v>15.492110113965634</v>
      </c>
      <c r="AD87" s="47">
        <f t="shared" si="11"/>
        <v>17.681844238778424</v>
      </c>
      <c r="AE87" s="47">
        <f t="shared" si="11"/>
        <v>19.871578363591208</v>
      </c>
      <c r="AH87">
        <f t="shared" si="15"/>
        <v>0.81934778947255915</v>
      </c>
      <c r="AI87">
        <f t="shared" si="16"/>
        <v>-1.4334005120081414</v>
      </c>
      <c r="AJ87" s="34">
        <v>0.7937059929929714</v>
      </c>
      <c r="AK87" s="34">
        <v>7.5871706085389512E-2</v>
      </c>
    </row>
    <row r="88" spans="19:37" x14ac:dyDescent="0.25">
      <c r="S88" s="47">
        <f t="shared" si="13"/>
        <v>10.989343774381791</v>
      </c>
      <c r="T88" s="47">
        <f t="shared" si="14"/>
        <v>12.174670383701967</v>
      </c>
      <c r="U88" s="47"/>
      <c r="V88" s="47"/>
      <c r="W88" s="47">
        <f t="shared" si="12"/>
        <v>12.056137722769948</v>
      </c>
      <c r="X88" s="47">
        <f t="shared" si="11"/>
        <v>11.937605061837933</v>
      </c>
      <c r="Y88" s="47">
        <f t="shared" si="11"/>
        <v>11.819072400905913</v>
      </c>
      <c r="Z88" s="47">
        <f t="shared" si="11"/>
        <v>11.700539739973895</v>
      </c>
      <c r="AA88" s="47">
        <f t="shared" si="11"/>
        <v>11.58200707904188</v>
      </c>
      <c r="AB88" s="47">
        <f t="shared" si="11"/>
        <v>11.463474418109861</v>
      </c>
      <c r="AC88" s="47">
        <f t="shared" si="11"/>
        <v>11.344941757177843</v>
      </c>
      <c r="AD88" s="47">
        <f t="shared" si="11"/>
        <v>11.226409096245826</v>
      </c>
      <c r="AE88" s="47">
        <f t="shared" si="11"/>
        <v>11.107876435313809</v>
      </c>
      <c r="AH88">
        <f t="shared" si="15"/>
        <v>8.9006845275843696E-2</v>
      </c>
      <c r="AI88">
        <f t="shared" si="16"/>
        <v>0.79492957026010536</v>
      </c>
      <c r="AJ88" s="34">
        <v>0.53546176501434606</v>
      </c>
      <c r="AK88" s="34">
        <v>0.78667276393103169</v>
      </c>
    </row>
    <row r="89" spans="19:37" x14ac:dyDescent="0.25">
      <c r="S89" s="47">
        <f t="shared" si="13"/>
        <v>10.755338783607408</v>
      </c>
      <c r="T89" s="47">
        <f t="shared" si="14"/>
        <v>9.6806740480938096</v>
      </c>
      <c r="U89" s="47"/>
      <c r="V89" s="47"/>
      <c r="W89" s="47">
        <f t="shared" si="12"/>
        <v>9.78814052164517</v>
      </c>
      <c r="X89" s="47">
        <f t="shared" si="11"/>
        <v>9.8956069951965304</v>
      </c>
      <c r="Y89" s="47">
        <f t="shared" si="11"/>
        <v>10.003073468747889</v>
      </c>
      <c r="Z89" s="47">
        <f t="shared" si="11"/>
        <v>10.110539942299249</v>
      </c>
      <c r="AA89" s="47">
        <f t="shared" si="11"/>
        <v>10.21800641585061</v>
      </c>
      <c r="AB89" s="47">
        <f t="shared" si="11"/>
        <v>10.325472889401969</v>
      </c>
      <c r="AC89" s="47">
        <f t="shared" si="11"/>
        <v>10.432939362953329</v>
      </c>
      <c r="AD89" s="47">
        <f t="shared" si="11"/>
        <v>10.540405836504688</v>
      </c>
      <c r="AE89" s="47">
        <f t="shared" si="11"/>
        <v>10.647872310056048</v>
      </c>
      <c r="AH89">
        <f t="shared" si="15"/>
        <v>7.3571159868562538E-2</v>
      </c>
      <c r="AI89">
        <f t="shared" si="16"/>
        <v>0.33222153025859169</v>
      </c>
      <c r="AJ89" s="34">
        <v>0.52932418999007114</v>
      </c>
      <c r="AK89" s="34">
        <v>0.6301390063145732</v>
      </c>
    </row>
    <row r="90" spans="19:37" x14ac:dyDescent="0.25">
      <c r="S90" s="47">
        <f t="shared" si="13"/>
        <v>-4.5838273217760754</v>
      </c>
      <c r="T90" s="47">
        <f t="shared" si="14"/>
        <v>9.8069106175956335</v>
      </c>
      <c r="U90" s="47"/>
      <c r="V90" s="47"/>
      <c r="W90" s="47">
        <f t="shared" si="12"/>
        <v>8.3678368236584628</v>
      </c>
      <c r="X90" s="47">
        <f t="shared" si="11"/>
        <v>6.9287630297212921</v>
      </c>
      <c r="Y90" s="47">
        <f t="shared" si="11"/>
        <v>5.4896892357841196</v>
      </c>
      <c r="Z90" s="47">
        <f t="shared" si="11"/>
        <v>4.0506154418469498</v>
      </c>
      <c r="AA90" s="47">
        <f t="shared" si="11"/>
        <v>2.6115416479097791</v>
      </c>
      <c r="AB90" s="47">
        <f t="shared" si="11"/>
        <v>1.1724678539726088</v>
      </c>
      <c r="AC90" s="47">
        <f t="shared" si="11"/>
        <v>-0.26660593996456239</v>
      </c>
      <c r="AD90" s="47">
        <f t="shared" si="11"/>
        <v>-1.7056797339017327</v>
      </c>
      <c r="AE90" s="47">
        <f t="shared" si="11"/>
        <v>-3.1447535278389034</v>
      </c>
      <c r="AH90">
        <f t="shared" si="15"/>
        <v>-0.93824718481372527</v>
      </c>
      <c r="AI90">
        <f t="shared" si="16"/>
        <v>0.35564204408082262</v>
      </c>
      <c r="AJ90" s="34">
        <v>0.17405869743838009</v>
      </c>
      <c r="AK90" s="34">
        <v>0.63894567355619425</v>
      </c>
    </row>
    <row r="91" spans="19:37" x14ac:dyDescent="0.25">
      <c r="S91" s="47">
        <f t="shared" si="13"/>
        <v>-9.3842232602907814</v>
      </c>
      <c r="T91" s="47">
        <f t="shared" si="14"/>
        <v>7.4368265916603473</v>
      </c>
      <c r="U91" s="47"/>
      <c r="V91" s="47"/>
      <c r="W91" s="47">
        <f t="shared" si="12"/>
        <v>5.7547216064652345</v>
      </c>
      <c r="X91" s="47">
        <f t="shared" si="11"/>
        <v>4.0726166212701225</v>
      </c>
      <c r="Y91" s="47">
        <f t="shared" si="11"/>
        <v>2.3905116360750074</v>
      </c>
      <c r="Z91" s="47">
        <f t="shared" si="11"/>
        <v>0.70840665087989541</v>
      </c>
      <c r="AA91" s="47">
        <f t="shared" si="11"/>
        <v>-0.97369833431521702</v>
      </c>
      <c r="AB91" s="47">
        <f t="shared" si="11"/>
        <v>-2.655803319510329</v>
      </c>
      <c r="AC91" s="47">
        <f t="shared" si="11"/>
        <v>-4.3379083047054419</v>
      </c>
      <c r="AD91" s="47">
        <f t="shared" si="11"/>
        <v>-6.0200132899005547</v>
      </c>
      <c r="AE91" s="47">
        <f t="shared" si="11"/>
        <v>-7.7021182750956676</v>
      </c>
      <c r="AH91">
        <f t="shared" si="15"/>
        <v>-1.2548959934228747</v>
      </c>
      <c r="AI91">
        <f t="shared" si="16"/>
        <v>-8.4076699135371552E-2</v>
      </c>
      <c r="AJ91" s="34">
        <v>0.10475825932605787</v>
      </c>
      <c r="AK91" s="34">
        <v>0.4664977252165986</v>
      </c>
    </row>
    <row r="92" spans="19:37" x14ac:dyDescent="0.25">
      <c r="S92" s="47">
        <f t="shared" si="13"/>
        <v>2.011247605331496</v>
      </c>
      <c r="T92" s="47">
        <f t="shared" si="14"/>
        <v>9.2127244678259892</v>
      </c>
      <c r="U92" s="47"/>
      <c r="V92" s="47"/>
      <c r="W92" s="47">
        <f t="shared" si="12"/>
        <v>8.4925767815765401</v>
      </c>
      <c r="X92" s="47">
        <f t="shared" si="11"/>
        <v>7.7724290953270909</v>
      </c>
      <c r="Y92" s="47">
        <f t="shared" si="11"/>
        <v>7.0522814090776409</v>
      </c>
      <c r="Z92" s="47">
        <f t="shared" si="11"/>
        <v>6.3321337228281918</v>
      </c>
      <c r="AA92" s="47">
        <f t="shared" si="11"/>
        <v>5.6119860365787426</v>
      </c>
      <c r="AB92" s="47">
        <f t="shared" si="11"/>
        <v>4.8918383503292935</v>
      </c>
      <c r="AC92" s="47">
        <f t="shared" si="11"/>
        <v>4.1716906640798443</v>
      </c>
      <c r="AD92" s="47">
        <f t="shared" si="11"/>
        <v>3.4515429778303952</v>
      </c>
      <c r="AE92" s="47">
        <f t="shared" si="11"/>
        <v>2.7313952915809461</v>
      </c>
      <c r="AH92">
        <f t="shared" si="15"/>
        <v>-0.50321585716810713</v>
      </c>
      <c r="AI92">
        <f t="shared" si="16"/>
        <v>0.24540342631279971</v>
      </c>
      <c r="AJ92" s="34">
        <v>0.30740625862449766</v>
      </c>
      <c r="AK92" s="34">
        <v>0.59692796185025698</v>
      </c>
    </row>
    <row r="93" spans="19:37" x14ac:dyDescent="0.25">
      <c r="S93" s="47">
        <f t="shared" si="13"/>
        <v>39.47389861772362</v>
      </c>
      <c r="T93" s="47">
        <f t="shared" si="14"/>
        <v>11.721309793198287</v>
      </c>
      <c r="U93" s="47"/>
      <c r="V93" s="47"/>
      <c r="W93" s="47">
        <f t="shared" si="12"/>
        <v>14.496568675650821</v>
      </c>
      <c r="X93" s="47">
        <f t="shared" si="11"/>
        <v>17.271827558103354</v>
      </c>
      <c r="Y93" s="47">
        <f t="shared" si="11"/>
        <v>20.047086440555887</v>
      </c>
      <c r="Z93" s="47">
        <f t="shared" si="11"/>
        <v>22.82234532300842</v>
      </c>
      <c r="AA93" s="47">
        <f t="shared" si="11"/>
        <v>25.597604205460954</v>
      </c>
      <c r="AB93" s="47">
        <f t="shared" si="11"/>
        <v>28.372863087913487</v>
      </c>
      <c r="AC93" s="47">
        <f t="shared" si="11"/>
        <v>31.14812197036602</v>
      </c>
      <c r="AD93" s="47">
        <f t="shared" si="11"/>
        <v>33.923380852818553</v>
      </c>
      <c r="AE93" s="47">
        <f t="shared" si="11"/>
        <v>36.698639735271087</v>
      </c>
      <c r="AH93">
        <f t="shared" si="15"/>
        <v>1.9679352650213466</v>
      </c>
      <c r="AI93">
        <f t="shared" si="16"/>
        <v>0.71081814345051741</v>
      </c>
      <c r="AJ93" s="34">
        <v>0.97546225671099407</v>
      </c>
      <c r="AK93" s="34">
        <v>0.76140153201004102</v>
      </c>
    </row>
    <row r="94" spans="19:37" x14ac:dyDescent="0.25">
      <c r="S94" s="47">
        <f t="shared" si="13"/>
        <v>16.347465116988889</v>
      </c>
      <c r="T94" s="47">
        <f t="shared" si="14"/>
        <v>11.456684632595271</v>
      </c>
      <c r="U94" s="47"/>
      <c r="V94" s="47"/>
      <c r="W94" s="47">
        <f t="shared" si="12"/>
        <v>11.945762681034633</v>
      </c>
      <c r="X94" s="47">
        <f t="shared" si="11"/>
        <v>12.434840729473995</v>
      </c>
      <c r="Y94" s="47">
        <f t="shared" si="11"/>
        <v>12.923918777913357</v>
      </c>
      <c r="Z94" s="47">
        <f t="shared" si="11"/>
        <v>13.412996826352719</v>
      </c>
      <c r="AA94" s="47">
        <f t="shared" si="11"/>
        <v>13.902074874792081</v>
      </c>
      <c r="AB94" s="47">
        <f t="shared" si="11"/>
        <v>14.391152923231441</v>
      </c>
      <c r="AC94" s="47">
        <f t="shared" si="11"/>
        <v>14.880230971670803</v>
      </c>
      <c r="AD94" s="47">
        <f t="shared" si="11"/>
        <v>15.369309020110165</v>
      </c>
      <c r="AE94" s="47">
        <f t="shared" si="11"/>
        <v>15.858387068549526</v>
      </c>
      <c r="AH94">
        <f t="shared" si="15"/>
        <v>0.44244492856127243</v>
      </c>
      <c r="AI94">
        <f t="shared" si="16"/>
        <v>0.66172256634420623</v>
      </c>
      <c r="AJ94" s="34">
        <v>0.67091636330631954</v>
      </c>
      <c r="AK94" s="34">
        <v>0.74592548017822047</v>
      </c>
    </row>
    <row r="95" spans="19:37" x14ac:dyDescent="0.25">
      <c r="S95" s="47">
        <f t="shared" si="13"/>
        <v>18.246166515995451</v>
      </c>
      <c r="T95" s="47">
        <f t="shared" si="14"/>
        <v>5.3942897804769725</v>
      </c>
      <c r="U95" s="47"/>
      <c r="V95" s="47"/>
      <c r="W95" s="47">
        <f t="shared" si="12"/>
        <v>6.6794774540288202</v>
      </c>
      <c r="X95" s="47">
        <f t="shared" si="11"/>
        <v>7.9646651275806688</v>
      </c>
      <c r="Y95" s="47">
        <f t="shared" si="11"/>
        <v>9.2498528011325156</v>
      </c>
      <c r="Z95" s="47">
        <f t="shared" si="11"/>
        <v>10.535040474684365</v>
      </c>
      <c r="AA95" s="47">
        <f t="shared" si="11"/>
        <v>11.820228148236211</v>
      </c>
      <c r="AB95" s="47">
        <f t="shared" si="11"/>
        <v>13.105415821788061</v>
      </c>
      <c r="AC95" s="47">
        <f t="shared" si="11"/>
        <v>14.390603495339906</v>
      </c>
      <c r="AD95" s="47">
        <f t="shared" si="11"/>
        <v>15.675791168891754</v>
      </c>
      <c r="AE95" s="47">
        <f t="shared" si="11"/>
        <v>16.960978842443602</v>
      </c>
      <c r="AH95">
        <f t="shared" si="15"/>
        <v>0.56768908416856534</v>
      </c>
      <c r="AI95">
        <f t="shared" si="16"/>
        <v>-0.46302601475380845</v>
      </c>
      <c r="AJ95" s="34">
        <v>0.71487694753560327</v>
      </c>
      <c r="AK95" s="34">
        <v>0.32167286008281171</v>
      </c>
    </row>
    <row r="96" spans="19:37" x14ac:dyDescent="0.25">
      <c r="S96" s="47">
        <f t="shared" si="13"/>
        <v>32.69055698290645</v>
      </c>
      <c r="T96" s="47">
        <f t="shared" si="14"/>
        <v>9.5729084558996167</v>
      </c>
      <c r="U96" s="47"/>
      <c r="V96" s="47"/>
      <c r="W96" s="47">
        <f t="shared" si="12"/>
        <v>11.8846733086003</v>
      </c>
      <c r="X96" s="47">
        <f t="shared" si="11"/>
        <v>14.196438161300984</v>
      </c>
      <c r="Y96" s="47">
        <f t="shared" si="11"/>
        <v>16.508203014001666</v>
      </c>
      <c r="Z96" s="47">
        <f t="shared" si="11"/>
        <v>18.819967866702349</v>
      </c>
      <c r="AA96" s="47">
        <f t="shared" si="11"/>
        <v>21.131732719403033</v>
      </c>
      <c r="AB96" s="47">
        <f t="shared" si="11"/>
        <v>23.443497572103716</v>
      </c>
      <c r="AC96" s="47">
        <f t="shared" si="11"/>
        <v>25.7552624248044</v>
      </c>
      <c r="AD96" s="47">
        <f t="shared" si="11"/>
        <v>28.067027277505083</v>
      </c>
      <c r="AE96" s="47">
        <f t="shared" si="11"/>
        <v>30.378792130205767</v>
      </c>
      <c r="AH96">
        <f t="shared" si="15"/>
        <v>1.5204852891099241</v>
      </c>
      <c r="AI96">
        <f t="shared" si="16"/>
        <v>0.31222791389603294</v>
      </c>
      <c r="AJ96" s="34">
        <v>0.93580547337195352</v>
      </c>
      <c r="AK96" s="34">
        <v>0.62256634023811075</v>
      </c>
    </row>
    <row r="97" spans="19:37" x14ac:dyDescent="0.25">
      <c r="S97" s="47">
        <f t="shared" si="13"/>
        <v>-0.44013295480602466</v>
      </c>
      <c r="T97" s="47">
        <f t="shared" si="14"/>
        <v>19.266013738470317</v>
      </c>
      <c r="U97" s="47"/>
      <c r="V97" s="47"/>
      <c r="W97" s="47">
        <f t="shared" si="12"/>
        <v>17.295399069142682</v>
      </c>
      <c r="X97" s="47">
        <f t="shared" si="11"/>
        <v>15.32478439981505</v>
      </c>
      <c r="Y97" s="47">
        <f t="shared" si="11"/>
        <v>13.354169730487413</v>
      </c>
      <c r="Z97" s="47">
        <f t="shared" si="11"/>
        <v>11.383555061159781</v>
      </c>
      <c r="AA97" s="47">
        <f t="shared" si="11"/>
        <v>9.4129403918321461</v>
      </c>
      <c r="AB97" s="47">
        <f t="shared" si="11"/>
        <v>7.4423257225045125</v>
      </c>
      <c r="AC97" s="47">
        <f t="shared" si="11"/>
        <v>5.4717110531768789</v>
      </c>
      <c r="AD97" s="47">
        <f t="shared" si="11"/>
        <v>3.5010963838492448</v>
      </c>
      <c r="AE97" s="47">
        <f t="shared" si="11"/>
        <v>1.5304817145216112</v>
      </c>
      <c r="AH97">
        <f t="shared" si="15"/>
        <v>-0.66491642182097788</v>
      </c>
      <c r="AI97">
        <f t="shared" si="16"/>
        <v>2.1105776880278881</v>
      </c>
      <c r="AJ97" s="34">
        <v>0.25305197580768235</v>
      </c>
      <c r="AK97" s="34">
        <v>0.98259568643572504</v>
      </c>
    </row>
    <row r="98" spans="19:37" x14ac:dyDescent="0.25">
      <c r="S98" s="47">
        <f t="shared" si="13"/>
        <v>16.932540455799327</v>
      </c>
      <c r="T98" s="47">
        <f t="shared" si="14"/>
        <v>25.965708275606779</v>
      </c>
      <c r="U98" s="47"/>
      <c r="V98" s="47"/>
      <c r="W98" s="47">
        <f t="shared" si="12"/>
        <v>25.062391493626038</v>
      </c>
      <c r="X98" s="47">
        <f t="shared" si="11"/>
        <v>24.159074711645289</v>
      </c>
      <c r="Y98" s="47">
        <f t="shared" si="11"/>
        <v>23.255757929664544</v>
      </c>
      <c r="Z98" s="47">
        <f t="shared" si="11"/>
        <v>22.352441147683798</v>
      </c>
      <c r="AA98" s="47">
        <f t="shared" si="11"/>
        <v>21.449124365703053</v>
      </c>
      <c r="AB98" s="47">
        <f t="shared" si="11"/>
        <v>20.545807583722308</v>
      </c>
      <c r="AC98" s="47">
        <f t="shared" si="11"/>
        <v>19.642490801741562</v>
      </c>
      <c r="AD98" s="47">
        <f t="shared" si="11"/>
        <v>18.739174019760817</v>
      </c>
      <c r="AE98" s="47">
        <f t="shared" si="11"/>
        <v>17.835857237780072</v>
      </c>
      <c r="AH98">
        <f t="shared" si="15"/>
        <v>0.48103828864111647</v>
      </c>
      <c r="AI98">
        <f t="shared" si="16"/>
        <v>3.3535636874966199</v>
      </c>
      <c r="AJ98" s="34">
        <v>0.68475535683158051</v>
      </c>
      <c r="AK98" s="34">
        <v>0.99960110974054717</v>
      </c>
    </row>
    <row r="99" spans="19:37" x14ac:dyDescent="0.25">
      <c r="S99" s="47">
        <f t="shared" si="13"/>
        <v>3.8825786105827458</v>
      </c>
      <c r="T99" s="47">
        <f t="shared" si="14"/>
        <v>10.519053591993424</v>
      </c>
      <c r="U99" s="47"/>
      <c r="V99" s="47"/>
      <c r="W99" s="47">
        <f t="shared" si="12"/>
        <v>9.8554060938523573</v>
      </c>
      <c r="X99" s="47">
        <f t="shared" si="11"/>
        <v>9.1917585957112902</v>
      </c>
      <c r="Y99" s="47">
        <f t="shared" si="11"/>
        <v>8.5281110975702212</v>
      </c>
      <c r="Z99" s="47">
        <f t="shared" si="11"/>
        <v>7.8644635994291523</v>
      </c>
      <c r="AA99" s="47">
        <f t="shared" si="11"/>
        <v>7.2008161012880851</v>
      </c>
      <c r="AB99" s="47">
        <f t="shared" si="11"/>
        <v>6.537168603147018</v>
      </c>
      <c r="AC99" s="47">
        <f t="shared" si="11"/>
        <v>5.8735211050059499</v>
      </c>
      <c r="AD99" s="47">
        <f t="shared" si="11"/>
        <v>5.2098736068648819</v>
      </c>
      <c r="AE99" s="47">
        <f t="shared" si="11"/>
        <v>4.5462261087238147</v>
      </c>
      <c r="AH99">
        <f t="shared" si="15"/>
        <v>-0.37977713650509598</v>
      </c>
      <c r="AI99">
        <f t="shared" si="16"/>
        <v>0.48776504489673927</v>
      </c>
      <c r="AJ99" s="34">
        <v>0.35205542772851173</v>
      </c>
      <c r="AK99" s="34">
        <v>0.68714186333147165</v>
      </c>
    </row>
    <row r="100" spans="19:37" x14ac:dyDescent="0.25">
      <c r="S100" s="47">
        <f t="shared" si="13"/>
        <v>5.5052096202780021</v>
      </c>
      <c r="T100" s="47">
        <f t="shared" si="14"/>
        <v>4.6922001330977121</v>
      </c>
      <c r="U100" s="47"/>
      <c r="V100" s="47"/>
      <c r="W100" s="47">
        <f t="shared" si="12"/>
        <v>4.7735010818157413</v>
      </c>
      <c r="X100" s="47">
        <f t="shared" si="11"/>
        <v>4.8548020305337705</v>
      </c>
      <c r="Y100" s="47">
        <f t="shared" si="11"/>
        <v>4.9361029792517988</v>
      </c>
      <c r="Z100" s="47">
        <f t="shared" si="11"/>
        <v>5.0174039279698279</v>
      </c>
      <c r="AA100" s="47">
        <f t="shared" si="11"/>
        <v>5.0987048766878571</v>
      </c>
      <c r="AB100" s="47">
        <f t="shared" si="11"/>
        <v>5.1800058254058863</v>
      </c>
      <c r="AC100" s="47">
        <f t="shared" si="11"/>
        <v>5.2613067741239146</v>
      </c>
      <c r="AD100" s="47">
        <f t="shared" si="11"/>
        <v>5.3426077228419446</v>
      </c>
      <c r="AE100" s="47">
        <f t="shared" si="11"/>
        <v>5.4239086715599729</v>
      </c>
      <c r="AH100">
        <f t="shared" si="15"/>
        <v>-0.2727434287415566</v>
      </c>
      <c r="AI100">
        <f t="shared" si="16"/>
        <v>-0.59328383430469167</v>
      </c>
      <c r="AJ100" s="34">
        <v>0.39252522426963832</v>
      </c>
      <c r="AK100" s="34">
        <v>0.27649560780108084</v>
      </c>
    </row>
    <row r="101" spans="19:37" x14ac:dyDescent="0.25">
      <c r="S101" s="47">
        <f t="shared" si="13"/>
        <v>-3.0044389529207525</v>
      </c>
      <c r="T101" s="47">
        <f t="shared" si="14"/>
        <v>14.504645929370483</v>
      </c>
      <c r="U101" s="47"/>
      <c r="V101" s="47"/>
      <c r="W101" s="47">
        <f t="shared" si="12"/>
        <v>12.753737441141361</v>
      </c>
      <c r="X101" s="47">
        <f t="shared" si="11"/>
        <v>11.002828952912235</v>
      </c>
      <c r="Y101" s="47">
        <f t="shared" si="11"/>
        <v>9.2519204646831117</v>
      </c>
      <c r="Z101" s="47">
        <f t="shared" si="11"/>
        <v>7.501011976453988</v>
      </c>
      <c r="AA101" s="47">
        <f t="shared" si="11"/>
        <v>5.7501034882248652</v>
      </c>
      <c r="AB101" s="47">
        <f t="shared" si="11"/>
        <v>3.9991949999957419</v>
      </c>
      <c r="AC101" s="47">
        <f t="shared" si="11"/>
        <v>2.2482865117666186</v>
      </c>
      <c r="AD101" s="47">
        <f t="shared" si="11"/>
        <v>0.49737802353749583</v>
      </c>
      <c r="AE101" s="47">
        <f t="shared" si="11"/>
        <v>-1.2535304646916272</v>
      </c>
      <c r="AH101">
        <f t="shared" si="15"/>
        <v>-0.83406589399213404</v>
      </c>
      <c r="AI101">
        <f t="shared" si="16"/>
        <v>1.2272070369889581</v>
      </c>
      <c r="AJ101" s="34">
        <v>0.20212192645620264</v>
      </c>
      <c r="AK101" s="34">
        <v>0.89012760738688801</v>
      </c>
    </row>
    <row r="102" spans="19:37" x14ac:dyDescent="0.25">
      <c r="S102" s="47">
        <f t="shared" si="13"/>
        <v>24.794531463684514</v>
      </c>
      <c r="T102" s="47">
        <f t="shared" si="14"/>
        <v>2.3409741899481116</v>
      </c>
      <c r="U102" s="47"/>
      <c r="V102" s="47"/>
      <c r="W102" s="47">
        <f t="shared" si="12"/>
        <v>4.586329917321752</v>
      </c>
      <c r="X102" s="47">
        <f t="shared" si="11"/>
        <v>6.8316856446953924</v>
      </c>
      <c r="Y102" s="47">
        <f t="shared" si="11"/>
        <v>9.0770413720690328</v>
      </c>
      <c r="Z102" s="47">
        <f t="shared" si="11"/>
        <v>11.322397099442673</v>
      </c>
      <c r="AA102" s="47">
        <f t="shared" si="11"/>
        <v>13.567752826816314</v>
      </c>
      <c r="AB102" s="47">
        <f t="shared" si="11"/>
        <v>15.813108554189952</v>
      </c>
      <c r="AC102" s="47">
        <f t="shared" si="11"/>
        <v>18.058464281563591</v>
      </c>
      <c r="AD102" s="47">
        <f t="shared" si="11"/>
        <v>20.30382000893723</v>
      </c>
      <c r="AE102" s="47">
        <f t="shared" si="11"/>
        <v>22.549175736310872</v>
      </c>
      <c r="AH102">
        <f t="shared" si="15"/>
        <v>0.99963927860715796</v>
      </c>
      <c r="AI102">
        <f t="shared" si="16"/>
        <v>-1.0295038608630591</v>
      </c>
      <c r="AJ102" s="34">
        <v>0.84125744630916233</v>
      </c>
      <c r="AK102" s="34">
        <v>0.151621483227388</v>
      </c>
    </row>
    <row r="103" spans="19:37" x14ac:dyDescent="0.25">
      <c r="S103" s="47">
        <f t="shared" si="13"/>
        <v>9.6607932532019447</v>
      </c>
      <c r="T103" s="47">
        <f t="shared" si="14"/>
        <v>16.36745749217706</v>
      </c>
      <c r="U103" s="47"/>
      <c r="V103" s="47"/>
      <c r="W103" s="47">
        <f t="shared" si="12"/>
        <v>15.696791068279548</v>
      </c>
      <c r="X103" s="47">
        <f t="shared" si="11"/>
        <v>15.026124644382037</v>
      </c>
      <c r="Y103" s="47">
        <f t="shared" ref="X103:AE134" si="17">$S103*Y$7+$T103*Y$8</f>
        <v>14.355458220484525</v>
      </c>
      <c r="Z103" s="47">
        <f t="shared" si="17"/>
        <v>13.684791796587014</v>
      </c>
      <c r="AA103" s="47">
        <f t="shared" si="17"/>
        <v>13.014125372689502</v>
      </c>
      <c r="AB103" s="47">
        <f t="shared" si="17"/>
        <v>12.343458948791991</v>
      </c>
      <c r="AC103" s="47">
        <f t="shared" si="17"/>
        <v>11.672792524894479</v>
      </c>
      <c r="AD103" s="47">
        <f t="shared" si="17"/>
        <v>11.002126100996968</v>
      </c>
      <c r="AE103" s="47">
        <f t="shared" si="17"/>
        <v>10.331459677099458</v>
      </c>
      <c r="AH103">
        <f t="shared" si="15"/>
        <v>1.3715866228194802E-3</v>
      </c>
      <c r="AI103">
        <f t="shared" si="16"/>
        <v>1.5728121506822004</v>
      </c>
      <c r="AJ103" s="34">
        <v>0.50054718372351081</v>
      </c>
      <c r="AK103" s="34">
        <v>0.94211883934731633</v>
      </c>
    </row>
    <row r="104" spans="19:37" x14ac:dyDescent="0.25">
      <c r="S104" s="47">
        <f t="shared" si="13"/>
        <v>29.762287950586515</v>
      </c>
      <c r="T104" s="47">
        <f t="shared" si="14"/>
        <v>5.7075580214552284</v>
      </c>
      <c r="U104" s="47"/>
      <c r="V104" s="47"/>
      <c r="W104" s="47">
        <f t="shared" si="12"/>
        <v>8.1130310143683566</v>
      </c>
      <c r="X104" s="47">
        <f t="shared" si="17"/>
        <v>10.518504007281486</v>
      </c>
      <c r="Y104" s="47">
        <f t="shared" si="17"/>
        <v>12.923977000194615</v>
      </c>
      <c r="Z104" s="47">
        <f t="shared" si="17"/>
        <v>15.329449993107744</v>
      </c>
      <c r="AA104" s="47">
        <f t="shared" si="17"/>
        <v>17.734922986020873</v>
      </c>
      <c r="AB104" s="47">
        <f t="shared" si="17"/>
        <v>20.140395978933999</v>
      </c>
      <c r="AC104" s="47">
        <f t="shared" si="17"/>
        <v>22.545868971847131</v>
      </c>
      <c r="AD104" s="47">
        <f t="shared" si="17"/>
        <v>24.951341964760257</v>
      </c>
      <c r="AE104" s="47">
        <f t="shared" si="17"/>
        <v>27.356814957673386</v>
      </c>
      <c r="AH104">
        <f t="shared" si="15"/>
        <v>1.3273277012260234</v>
      </c>
      <c r="AI104">
        <f t="shared" si="16"/>
        <v>-0.40490574741090379</v>
      </c>
      <c r="AJ104" s="34">
        <v>0.90779984787800527</v>
      </c>
      <c r="AK104" s="34">
        <v>0.34277339676353313</v>
      </c>
    </row>
    <row r="105" spans="19:37" x14ac:dyDescent="0.25">
      <c r="S105" s="47">
        <f t="shared" si="13"/>
        <v>-14.534330231226196</v>
      </c>
      <c r="T105" s="47">
        <f t="shared" si="14"/>
        <v>9.6463695414783075</v>
      </c>
      <c r="U105" s="47"/>
      <c r="V105" s="47"/>
      <c r="W105" s="47">
        <f t="shared" si="12"/>
        <v>7.228299564207858</v>
      </c>
      <c r="X105" s="47">
        <f t="shared" si="17"/>
        <v>4.8102295869374068</v>
      </c>
      <c r="Y105" s="47">
        <f t="shared" si="17"/>
        <v>2.3921596096669555</v>
      </c>
      <c r="Z105" s="47">
        <f t="shared" si="17"/>
        <v>-2.5910367603494855E-2</v>
      </c>
      <c r="AA105" s="47">
        <f t="shared" si="17"/>
        <v>-2.4439803448739443</v>
      </c>
      <c r="AB105" s="47">
        <f t="shared" si="17"/>
        <v>-4.8620503221443938</v>
      </c>
      <c r="AC105" s="47">
        <f t="shared" si="17"/>
        <v>-7.2801202994148433</v>
      </c>
      <c r="AD105" s="47">
        <f t="shared" si="17"/>
        <v>-9.6981902766852954</v>
      </c>
      <c r="AE105" s="47">
        <f t="shared" si="17"/>
        <v>-12.116260253955744</v>
      </c>
      <c r="AH105">
        <f t="shared" si="15"/>
        <v>-1.5946128120861607</v>
      </c>
      <c r="AI105">
        <f t="shared" si="16"/>
        <v>0.3258570577881833</v>
      </c>
      <c r="AJ105" s="34">
        <v>5.5399422882952298E-2</v>
      </c>
      <c r="AK105" s="34">
        <v>0.62773374661221515</v>
      </c>
    </row>
    <row r="106" spans="19:37" x14ac:dyDescent="0.25">
      <c r="S106" s="47">
        <f t="shared" si="13"/>
        <v>2.1505344888036975</v>
      </c>
      <c r="T106" s="47">
        <f t="shared" si="14"/>
        <v>13.818548959397809</v>
      </c>
      <c r="U106" s="47"/>
      <c r="V106" s="47"/>
      <c r="W106" s="47">
        <f t="shared" si="12"/>
        <v>12.6517475123384</v>
      </c>
      <c r="X106" s="47">
        <f t="shared" si="17"/>
        <v>11.484946065278987</v>
      </c>
      <c r="Y106" s="47">
        <f t="shared" si="17"/>
        <v>10.318144618219575</v>
      </c>
      <c r="Z106" s="47">
        <f t="shared" si="17"/>
        <v>9.151343171160164</v>
      </c>
      <c r="AA106" s="47">
        <f t="shared" si="17"/>
        <v>7.9845417241007528</v>
      </c>
      <c r="AB106" s="47">
        <f t="shared" si="17"/>
        <v>6.8177402770413424</v>
      </c>
      <c r="AC106" s="47">
        <f t="shared" si="17"/>
        <v>5.6509388299819312</v>
      </c>
      <c r="AD106" s="47">
        <f t="shared" si="17"/>
        <v>4.4841373829225208</v>
      </c>
      <c r="AE106" s="47">
        <f t="shared" si="17"/>
        <v>3.3173359358631096</v>
      </c>
      <c r="AH106">
        <f t="shared" si="15"/>
        <v>-0.4940280680208643</v>
      </c>
      <c r="AI106">
        <f t="shared" si="16"/>
        <v>1.0999163189977386</v>
      </c>
      <c r="AJ106" s="34">
        <v>0.31064317852298295</v>
      </c>
      <c r="AK106" s="34">
        <v>0.86431570812606229</v>
      </c>
    </row>
    <row r="107" spans="19:37" x14ac:dyDescent="0.25">
      <c r="S107" s="47">
        <f t="shared" si="13"/>
        <v>27.501843187415023</v>
      </c>
      <c r="T107" s="47">
        <f t="shared" si="14"/>
        <v>4.8279701456432456</v>
      </c>
      <c r="U107" s="47"/>
      <c r="V107" s="47"/>
      <c r="W107" s="47">
        <f t="shared" si="12"/>
        <v>7.0953574498204235</v>
      </c>
      <c r="X107" s="47">
        <f t="shared" si="17"/>
        <v>9.3627447539976014</v>
      </c>
      <c r="Y107" s="47">
        <f t="shared" si="17"/>
        <v>11.63013205817478</v>
      </c>
      <c r="Z107" s="47">
        <f t="shared" si="17"/>
        <v>13.897519362351957</v>
      </c>
      <c r="AA107" s="47">
        <f t="shared" si="17"/>
        <v>16.164906666529134</v>
      </c>
      <c r="AB107" s="47">
        <f t="shared" si="17"/>
        <v>18.432293970706311</v>
      </c>
      <c r="AC107" s="47">
        <f t="shared" si="17"/>
        <v>20.699681274883492</v>
      </c>
      <c r="AD107" s="47">
        <f t="shared" si="17"/>
        <v>22.967068579060665</v>
      </c>
      <c r="AE107" s="47">
        <f t="shared" si="17"/>
        <v>25.234455883237846</v>
      </c>
      <c r="AH107">
        <f t="shared" si="15"/>
        <v>1.1782218461355556</v>
      </c>
      <c r="AI107">
        <f t="shared" si="16"/>
        <v>-0.56809459264503781</v>
      </c>
      <c r="AJ107" s="34">
        <v>0.880645912272353</v>
      </c>
      <c r="AK107" s="34">
        <v>0.28498536963954901</v>
      </c>
    </row>
    <row r="108" spans="19:37" x14ac:dyDescent="0.25">
      <c r="S108" s="47">
        <f t="shared" si="13"/>
        <v>-13.762818636589017</v>
      </c>
      <c r="T108" s="47">
        <f t="shared" si="14"/>
        <v>14.450430586872251</v>
      </c>
      <c r="U108" s="47"/>
      <c r="V108" s="47"/>
      <c r="W108" s="47">
        <f t="shared" si="12"/>
        <v>11.629105664526126</v>
      </c>
      <c r="X108" s="47">
        <f t="shared" si="17"/>
        <v>8.8077807421799967</v>
      </c>
      <c r="Y108" s="47">
        <f t="shared" si="17"/>
        <v>5.9864558198338695</v>
      </c>
      <c r="Z108" s="47">
        <f t="shared" si="17"/>
        <v>3.1651308974877423</v>
      </c>
      <c r="AA108" s="47">
        <f t="shared" si="17"/>
        <v>0.34380597514161693</v>
      </c>
      <c r="AB108" s="47">
        <f t="shared" si="17"/>
        <v>-2.4775189472045094</v>
      </c>
      <c r="AC108" s="47">
        <f t="shared" si="17"/>
        <v>-5.2988438695506357</v>
      </c>
      <c r="AD108" s="47">
        <f t="shared" si="17"/>
        <v>-8.1201687918967611</v>
      </c>
      <c r="AE108" s="47">
        <f t="shared" si="17"/>
        <v>-10.941493714242888</v>
      </c>
      <c r="AH108">
        <f t="shared" si="15"/>
        <v>-1.5437215459491436</v>
      </c>
      <c r="AI108">
        <f t="shared" si="16"/>
        <v>1.2171485318872453</v>
      </c>
      <c r="AJ108" s="34">
        <v>6.1327902174595161E-2</v>
      </c>
      <c r="AK108" s="34">
        <v>0.88822614582210391</v>
      </c>
    </row>
    <row r="109" spans="19:37" x14ac:dyDescent="0.25">
      <c r="S109" s="47">
        <f t="shared" si="13"/>
        <v>-1.7879327785123831</v>
      </c>
      <c r="T109" s="47">
        <f t="shared" si="14"/>
        <v>12.501520256514906</v>
      </c>
      <c r="U109" s="47"/>
      <c r="V109" s="47"/>
      <c r="W109" s="47">
        <f t="shared" si="12"/>
        <v>11.072574953012179</v>
      </c>
      <c r="X109" s="47">
        <f t="shared" si="17"/>
        <v>9.6436296495094478</v>
      </c>
      <c r="Y109" s="47">
        <f t="shared" si="17"/>
        <v>8.2146843460067185</v>
      </c>
      <c r="Z109" s="47">
        <f t="shared" si="17"/>
        <v>6.785739042503991</v>
      </c>
      <c r="AA109" s="47">
        <f t="shared" si="17"/>
        <v>5.3567937390012617</v>
      </c>
      <c r="AB109" s="47">
        <f t="shared" si="17"/>
        <v>3.9278484354985328</v>
      </c>
      <c r="AC109" s="47">
        <f t="shared" si="17"/>
        <v>2.4989031319958044</v>
      </c>
      <c r="AD109" s="47">
        <f t="shared" si="17"/>
        <v>1.0699578284930757</v>
      </c>
      <c r="AE109" s="47">
        <f t="shared" si="17"/>
        <v>-0.35898747500965289</v>
      </c>
      <c r="AH109">
        <f t="shared" si="15"/>
        <v>-0.75382142338472191</v>
      </c>
      <c r="AI109">
        <f t="shared" si="16"/>
        <v>0.85556962087475086</v>
      </c>
      <c r="AJ109" s="34">
        <v>0.22547822906956028</v>
      </c>
      <c r="AK109" s="34">
        <v>0.8038820602085287</v>
      </c>
    </row>
    <row r="110" spans="19:37" x14ac:dyDescent="0.25">
      <c r="S110" s="47">
        <f t="shared" si="13"/>
        <v>16.268613059396429</v>
      </c>
      <c r="T110" s="47">
        <f t="shared" si="14"/>
        <v>14.602793600618984</v>
      </c>
      <c r="U110" s="47"/>
      <c r="V110" s="47"/>
      <c r="W110" s="47">
        <f t="shared" si="12"/>
        <v>14.769375546496729</v>
      </c>
      <c r="X110" s="47">
        <f t="shared" si="17"/>
        <v>14.935957492374474</v>
      </c>
      <c r="Y110" s="47">
        <f t="shared" si="17"/>
        <v>15.102539438252219</v>
      </c>
      <c r="Z110" s="47">
        <f t="shared" si="17"/>
        <v>15.269121384129964</v>
      </c>
      <c r="AA110" s="47">
        <f t="shared" si="17"/>
        <v>15.435703330007707</v>
      </c>
      <c r="AB110" s="47">
        <f t="shared" si="17"/>
        <v>15.602285275885452</v>
      </c>
      <c r="AC110" s="47">
        <f t="shared" si="17"/>
        <v>15.768867221763195</v>
      </c>
      <c r="AD110" s="47">
        <f t="shared" si="17"/>
        <v>15.93544916764094</v>
      </c>
      <c r="AE110" s="47">
        <f t="shared" si="17"/>
        <v>16.102031113518684</v>
      </c>
      <c r="AH110">
        <f t="shared" si="15"/>
        <v>0.4372436055010836</v>
      </c>
      <c r="AI110">
        <f t="shared" si="16"/>
        <v>1.2454162524339489</v>
      </c>
      <c r="AJ110" s="34">
        <v>0.669032655454882</v>
      </c>
      <c r="AK110" s="34">
        <v>0.89351060889400813</v>
      </c>
    </row>
    <row r="111" spans="19:37" x14ac:dyDescent="0.25">
      <c r="S111" s="47">
        <f t="shared" si="13"/>
        <v>4.1056413161527825</v>
      </c>
      <c r="T111" s="47">
        <f t="shared" si="14"/>
        <v>10.507990425276287</v>
      </c>
      <c r="U111" s="47"/>
      <c r="V111" s="47"/>
      <c r="W111" s="47">
        <f t="shared" si="12"/>
        <v>9.8677555143639353</v>
      </c>
      <c r="X111" s="47">
        <f t="shared" si="17"/>
        <v>9.2275206034515875</v>
      </c>
      <c r="Y111" s="47">
        <f t="shared" si="17"/>
        <v>8.5872856925392362</v>
      </c>
      <c r="Z111" s="47">
        <f t="shared" si="17"/>
        <v>7.9470507816268849</v>
      </c>
      <c r="AA111" s="47">
        <f t="shared" si="17"/>
        <v>7.3068158707145345</v>
      </c>
      <c r="AB111" s="47">
        <f t="shared" si="17"/>
        <v>6.6665809598021841</v>
      </c>
      <c r="AC111" s="47">
        <f t="shared" si="17"/>
        <v>6.0263460488898346</v>
      </c>
      <c r="AD111" s="47">
        <f t="shared" si="17"/>
        <v>5.3861111379774833</v>
      </c>
      <c r="AE111" s="47">
        <f t="shared" si="17"/>
        <v>4.7458762270651338</v>
      </c>
      <c r="AH111">
        <f t="shared" si="15"/>
        <v>-0.36506323772079274</v>
      </c>
      <c r="AI111">
        <f t="shared" si="16"/>
        <v>0.48571250932769688</v>
      </c>
      <c r="AJ111" s="34">
        <v>0.35753210095917987</v>
      </c>
      <c r="AK111" s="34">
        <v>0.68641449340701044</v>
      </c>
    </row>
    <row r="112" spans="19:37" x14ac:dyDescent="0.25">
      <c r="S112" s="47">
        <f t="shared" si="13"/>
        <v>-9.5157675203409937</v>
      </c>
      <c r="T112" s="47">
        <f t="shared" si="14"/>
        <v>9.0600879709797013</v>
      </c>
      <c r="U112" s="47"/>
      <c r="V112" s="47"/>
      <c r="W112" s="47">
        <f t="shared" si="12"/>
        <v>7.2025024218476323</v>
      </c>
      <c r="X112" s="47">
        <f t="shared" si="17"/>
        <v>5.3449168727155634</v>
      </c>
      <c r="Y112" s="47">
        <f t="shared" si="17"/>
        <v>3.4873313235834917</v>
      </c>
      <c r="Z112" s="47">
        <f t="shared" si="17"/>
        <v>1.6297457744514228</v>
      </c>
      <c r="AA112" s="47">
        <f t="shared" si="17"/>
        <v>-0.2278397746806462</v>
      </c>
      <c r="AB112" s="47">
        <f t="shared" si="17"/>
        <v>-2.0854253238127152</v>
      </c>
      <c r="AC112" s="47">
        <f t="shared" si="17"/>
        <v>-3.9430108729447846</v>
      </c>
      <c r="AD112" s="47">
        <f t="shared" si="17"/>
        <v>-5.800596422076854</v>
      </c>
      <c r="AE112" s="47">
        <f t="shared" si="17"/>
        <v>-7.658181971208923</v>
      </c>
      <c r="AH112">
        <f t="shared" si="15"/>
        <v>-1.2635730554314639</v>
      </c>
      <c r="AI112">
        <f t="shared" si="16"/>
        <v>0.2170849667865867</v>
      </c>
      <c r="AJ112" s="34">
        <v>0.10319165488080273</v>
      </c>
      <c r="AK112" s="34">
        <v>0.58592893530639889</v>
      </c>
    </row>
    <row r="113" spans="19:37" x14ac:dyDescent="0.25">
      <c r="S113" s="47">
        <f t="shared" si="13"/>
        <v>29.304680175306967</v>
      </c>
      <c r="T113" s="47">
        <f t="shared" si="14"/>
        <v>5.7325334914935402</v>
      </c>
      <c r="U113" s="47"/>
      <c r="V113" s="47"/>
      <c r="W113" s="47">
        <f t="shared" si="12"/>
        <v>8.0897481598748833</v>
      </c>
      <c r="X113" s="47">
        <f t="shared" si="17"/>
        <v>10.446962828256225</v>
      </c>
      <c r="Y113" s="47">
        <f t="shared" si="17"/>
        <v>12.804177496637568</v>
      </c>
      <c r="Z113" s="47">
        <f t="shared" si="17"/>
        <v>15.161392165018912</v>
      </c>
      <c r="AA113" s="47">
        <f t="shared" si="17"/>
        <v>17.518606833400252</v>
      </c>
      <c r="AB113" s="47">
        <f t="shared" si="17"/>
        <v>19.875821501781594</v>
      </c>
      <c r="AC113" s="47">
        <f t="shared" si="17"/>
        <v>22.233036170162936</v>
      </c>
      <c r="AD113" s="47">
        <f t="shared" si="17"/>
        <v>24.590250838544279</v>
      </c>
      <c r="AE113" s="47">
        <f t="shared" si="17"/>
        <v>26.947465506925621</v>
      </c>
      <c r="AH113">
        <f t="shared" si="15"/>
        <v>1.2971424917748657</v>
      </c>
      <c r="AI113">
        <f t="shared" si="16"/>
        <v>-0.40027207950027077</v>
      </c>
      <c r="AJ113" s="34">
        <v>0.90270891825876209</v>
      </c>
      <c r="AK113" s="34">
        <v>0.34447806508738132</v>
      </c>
    </row>
    <row r="114" spans="19:37" x14ac:dyDescent="0.25">
      <c r="S114" s="47">
        <f t="shared" si="13"/>
        <v>24.788843260927006</v>
      </c>
      <c r="T114" s="47">
        <f t="shared" si="14"/>
        <v>5.5235119303007885</v>
      </c>
      <c r="U114" s="47"/>
      <c r="V114" s="47"/>
      <c r="W114" s="47">
        <f t="shared" si="12"/>
        <v>7.4500450633634099</v>
      </c>
      <c r="X114" s="47">
        <f t="shared" si="17"/>
        <v>9.3765781964260313</v>
      </c>
      <c r="Y114" s="47">
        <f t="shared" si="17"/>
        <v>11.303111329488654</v>
      </c>
      <c r="Z114" s="47">
        <f t="shared" si="17"/>
        <v>13.229644462551276</v>
      </c>
      <c r="AA114" s="47">
        <f t="shared" si="17"/>
        <v>15.156177595613897</v>
      </c>
      <c r="AB114" s="47">
        <f t="shared" si="17"/>
        <v>17.082710728676517</v>
      </c>
      <c r="AC114" s="47">
        <f t="shared" si="17"/>
        <v>19.00924386173914</v>
      </c>
      <c r="AD114" s="47">
        <f t="shared" si="17"/>
        <v>20.93577699480176</v>
      </c>
      <c r="AE114" s="47">
        <f t="shared" si="17"/>
        <v>22.862310127864383</v>
      </c>
      <c r="AH114">
        <f t="shared" si="15"/>
        <v>0.99926406734347006</v>
      </c>
      <c r="AI114">
        <f t="shared" si="16"/>
        <v>-0.43905158992564219</v>
      </c>
      <c r="AJ114" s="34">
        <v>0.84116660638515706</v>
      </c>
      <c r="AK114" s="34">
        <v>0.33031207765122694</v>
      </c>
    </row>
    <row r="115" spans="19:37" x14ac:dyDescent="0.25">
      <c r="S115" s="47">
        <f t="shared" si="13"/>
        <v>-5.6419876671997145</v>
      </c>
      <c r="T115" s="47">
        <f t="shared" si="14"/>
        <v>10.594089590542712</v>
      </c>
      <c r="U115" s="47"/>
      <c r="V115" s="47"/>
      <c r="W115" s="47">
        <f t="shared" si="12"/>
        <v>8.9704818647684696</v>
      </c>
      <c r="X115" s="47">
        <f t="shared" si="17"/>
        <v>7.3468741389942274</v>
      </c>
      <c r="Y115" s="47">
        <f t="shared" si="17"/>
        <v>5.7232664132199833</v>
      </c>
      <c r="Z115" s="47">
        <f t="shared" si="17"/>
        <v>4.099658687445741</v>
      </c>
      <c r="AA115" s="47">
        <f t="shared" si="17"/>
        <v>2.4760509616714987</v>
      </c>
      <c r="AB115" s="47">
        <f t="shared" si="17"/>
        <v>0.85244323589725646</v>
      </c>
      <c r="AC115" s="47">
        <f t="shared" si="17"/>
        <v>-0.77116448987698583</v>
      </c>
      <c r="AD115" s="47">
        <f t="shared" si="17"/>
        <v>-2.3947722156512281</v>
      </c>
      <c r="AE115" s="47">
        <f t="shared" si="17"/>
        <v>-4.0183799414254704</v>
      </c>
      <c r="AH115">
        <f t="shared" si="15"/>
        <v>-1.0080466798944403</v>
      </c>
      <c r="AI115">
        <f t="shared" si="16"/>
        <v>0.50168638043464064</v>
      </c>
      <c r="AJ115" s="34">
        <v>0.15671602657118089</v>
      </c>
      <c r="AK115" s="34">
        <v>0.69205592683409511</v>
      </c>
    </row>
    <row r="116" spans="19:37" x14ac:dyDescent="0.25">
      <c r="S116" s="47">
        <f t="shared" si="13"/>
        <v>11.289448547977951</v>
      </c>
      <c r="T116" s="47">
        <f t="shared" si="14"/>
        <v>-0.70131792848962693</v>
      </c>
      <c r="U116" s="47"/>
      <c r="V116" s="47"/>
      <c r="W116" s="47">
        <f t="shared" si="12"/>
        <v>0.49775871915713088</v>
      </c>
      <c r="X116" s="47">
        <f t="shared" si="17"/>
        <v>1.6968353668038887</v>
      </c>
      <c r="Y116" s="47">
        <f t="shared" si="17"/>
        <v>2.8959120144506469</v>
      </c>
      <c r="Z116" s="47">
        <f t="shared" si="17"/>
        <v>4.0949886620974043</v>
      </c>
      <c r="AA116" s="47">
        <f t="shared" si="17"/>
        <v>5.2940653097441626</v>
      </c>
      <c r="AB116" s="47">
        <f t="shared" si="17"/>
        <v>6.4931419573909199</v>
      </c>
      <c r="AC116" s="47">
        <f t="shared" si="17"/>
        <v>7.6922186050376773</v>
      </c>
      <c r="AD116" s="47">
        <f t="shared" si="17"/>
        <v>8.8912952526844347</v>
      </c>
      <c r="AE116" s="47">
        <f t="shared" si="17"/>
        <v>10.090371900331192</v>
      </c>
      <c r="AH116">
        <f t="shared" si="15"/>
        <v>0.1088026746687302</v>
      </c>
      <c r="AI116">
        <f t="shared" si="16"/>
        <v>-1.5939365358978899</v>
      </c>
      <c r="AJ116" s="34">
        <v>0.54332049883168465</v>
      </c>
      <c r="AK116" s="34">
        <v>5.5475125080010068E-2</v>
      </c>
    </row>
    <row r="117" spans="19:37" x14ac:dyDescent="0.25">
      <c r="S117" s="47">
        <f t="shared" si="13"/>
        <v>-10.517425764034396</v>
      </c>
      <c r="T117" s="47">
        <f t="shared" si="14"/>
        <v>5.8398862342053457</v>
      </c>
      <c r="U117" s="47"/>
      <c r="V117" s="47"/>
      <c r="W117" s="47">
        <f t="shared" si="12"/>
        <v>4.2041550343813716</v>
      </c>
      <c r="X117" s="47">
        <f t="shared" si="17"/>
        <v>2.5684238345573975</v>
      </c>
      <c r="Y117" s="47">
        <f t="shared" si="17"/>
        <v>0.93269263473342212</v>
      </c>
      <c r="Z117" s="47">
        <f t="shared" si="17"/>
        <v>-0.70303856509055107</v>
      </c>
      <c r="AA117" s="47">
        <f t="shared" si="17"/>
        <v>-2.3387697649145252</v>
      </c>
      <c r="AB117" s="47">
        <f t="shared" si="17"/>
        <v>-3.9745009647384992</v>
      </c>
      <c r="AC117" s="47">
        <f t="shared" si="17"/>
        <v>-5.610232164562472</v>
      </c>
      <c r="AD117" s="47">
        <f t="shared" si="17"/>
        <v>-7.2459633643864469</v>
      </c>
      <c r="AE117" s="47">
        <f t="shared" si="17"/>
        <v>-8.8816945642104201</v>
      </c>
      <c r="AH117">
        <f t="shared" si="15"/>
        <v>-1.32964549894686</v>
      </c>
      <c r="AI117">
        <f t="shared" si="16"/>
        <v>-0.38035505858898966</v>
      </c>
      <c r="AJ117" s="34">
        <v>9.1817549821312738E-2</v>
      </c>
      <c r="AK117" s="34">
        <v>0.3518409350956232</v>
      </c>
    </row>
    <row r="118" spans="19:37" x14ac:dyDescent="0.25">
      <c r="S118" s="47">
        <f t="shared" si="13"/>
        <v>32.509471681768559</v>
      </c>
      <c r="T118" s="47">
        <f t="shared" si="14"/>
        <v>8.3932308944142626</v>
      </c>
      <c r="U118" s="47"/>
      <c r="V118" s="47"/>
      <c r="W118" s="47">
        <f t="shared" si="12"/>
        <v>10.804854973149693</v>
      </c>
      <c r="X118" s="47">
        <f t="shared" si="17"/>
        <v>13.216479051885123</v>
      </c>
      <c r="Y118" s="47">
        <f t="shared" si="17"/>
        <v>15.628103130620552</v>
      </c>
      <c r="Z118" s="47">
        <f t="shared" si="17"/>
        <v>18.039727209355981</v>
      </c>
      <c r="AA118" s="47">
        <f t="shared" si="17"/>
        <v>20.451351288091409</v>
      </c>
      <c r="AB118" s="47">
        <f t="shared" si="17"/>
        <v>22.862975366826838</v>
      </c>
      <c r="AC118" s="47">
        <f t="shared" si="17"/>
        <v>25.27459944556227</v>
      </c>
      <c r="AD118" s="47">
        <f t="shared" si="17"/>
        <v>27.686223524297699</v>
      </c>
      <c r="AE118" s="47">
        <f t="shared" si="17"/>
        <v>30.097847603033131</v>
      </c>
      <c r="AH118">
        <f t="shared" si="15"/>
        <v>1.5085403484016202</v>
      </c>
      <c r="AI118">
        <f t="shared" si="16"/>
        <v>9.3363802303202653E-2</v>
      </c>
      <c r="AJ118" s="34">
        <v>0.9342918559400708</v>
      </c>
      <c r="AK118" s="34">
        <v>0.53719272677484819</v>
      </c>
    </row>
    <row r="119" spans="19:37" x14ac:dyDescent="0.25">
      <c r="S119" s="47">
        <f t="shared" si="13"/>
        <v>23.557857682932799</v>
      </c>
      <c r="T119" s="47">
        <f t="shared" si="14"/>
        <v>-2.3359196703807283</v>
      </c>
      <c r="U119" s="47"/>
      <c r="V119" s="47"/>
      <c r="W119" s="47">
        <f t="shared" si="12"/>
        <v>0.25345806495062462</v>
      </c>
      <c r="X119" s="47">
        <f t="shared" si="17"/>
        <v>2.8428358002819776</v>
      </c>
      <c r="Y119" s="47">
        <f t="shared" si="17"/>
        <v>5.4322135356133305</v>
      </c>
      <c r="Z119" s="47">
        <f t="shared" si="17"/>
        <v>8.0215912709446826</v>
      </c>
      <c r="AA119" s="47">
        <f t="shared" si="17"/>
        <v>10.610969006276035</v>
      </c>
      <c r="AB119" s="47">
        <f t="shared" si="17"/>
        <v>13.200346741607387</v>
      </c>
      <c r="AC119" s="47">
        <f t="shared" si="17"/>
        <v>15.789724476938739</v>
      </c>
      <c r="AD119" s="47">
        <f t="shared" si="17"/>
        <v>18.379102212270091</v>
      </c>
      <c r="AE119" s="47">
        <f t="shared" si="17"/>
        <v>20.968479947601445</v>
      </c>
      <c r="AH119">
        <f t="shared" si="15"/>
        <v>0.91806449095862797</v>
      </c>
      <c r="AI119">
        <f t="shared" si="16"/>
        <v>-1.8972021651912299</v>
      </c>
      <c r="AJ119" s="34">
        <v>0.82070744817440566</v>
      </c>
      <c r="AK119" s="34">
        <v>2.8900630602962774E-2</v>
      </c>
    </row>
    <row r="120" spans="19:37" x14ac:dyDescent="0.25">
      <c r="S120" s="47">
        <f t="shared" si="13"/>
        <v>23.762756088584837</v>
      </c>
      <c r="T120" s="47">
        <f t="shared" si="14"/>
        <v>4.3382341318647457</v>
      </c>
      <c r="U120" s="47"/>
      <c r="V120" s="47"/>
      <c r="W120" s="47">
        <f t="shared" si="12"/>
        <v>6.2806863275367544</v>
      </c>
      <c r="X120" s="47">
        <f t="shared" si="17"/>
        <v>8.2231385232087639</v>
      </c>
      <c r="Y120" s="47">
        <f t="shared" si="17"/>
        <v>10.165590718880773</v>
      </c>
      <c r="Z120" s="47">
        <f t="shared" si="17"/>
        <v>12.108042914552783</v>
      </c>
      <c r="AA120" s="47">
        <f t="shared" si="17"/>
        <v>14.050495110224791</v>
      </c>
      <c r="AB120" s="47">
        <f t="shared" si="17"/>
        <v>15.9929473058968</v>
      </c>
      <c r="AC120" s="47">
        <f t="shared" si="17"/>
        <v>17.93539950156881</v>
      </c>
      <c r="AD120" s="47">
        <f t="shared" si="17"/>
        <v>19.877851697240818</v>
      </c>
      <c r="AE120" s="47">
        <f t="shared" si="17"/>
        <v>21.820303892912825</v>
      </c>
      <c r="AH120">
        <f t="shared" si="15"/>
        <v>0.93158021692512105</v>
      </c>
      <c r="AI120">
        <f t="shared" si="16"/>
        <v>-0.6589547065186</v>
      </c>
      <c r="AJ120" s="34">
        <v>0.82422324455560991</v>
      </c>
      <c r="AK120" s="34">
        <v>0.25496242717341999</v>
      </c>
    </row>
    <row r="121" spans="19:37" x14ac:dyDescent="0.25">
      <c r="S121" s="47">
        <f t="shared" si="13"/>
        <v>-14.368326555564181</v>
      </c>
      <c r="T121" s="47">
        <f t="shared" si="14"/>
        <v>7.2100363167789618</v>
      </c>
      <c r="U121" s="47"/>
      <c r="V121" s="47"/>
      <c r="W121" s="47">
        <f t="shared" si="12"/>
        <v>5.0522000295446476</v>
      </c>
      <c r="X121" s="47">
        <f t="shared" si="17"/>
        <v>2.8943637423103339</v>
      </c>
      <c r="Y121" s="47">
        <f t="shared" si="17"/>
        <v>0.73652745507601836</v>
      </c>
      <c r="Z121" s="47">
        <f t="shared" si="17"/>
        <v>-1.4213088321582958</v>
      </c>
      <c r="AA121" s="47">
        <f t="shared" si="17"/>
        <v>-3.5791451193926096</v>
      </c>
      <c r="AB121" s="47">
        <f t="shared" si="17"/>
        <v>-5.7369814066269225</v>
      </c>
      <c r="AC121" s="47">
        <f t="shared" si="17"/>
        <v>-7.8948176938612376</v>
      </c>
      <c r="AD121" s="47">
        <f t="shared" si="17"/>
        <v>-10.052653981095551</v>
      </c>
      <c r="AE121" s="47">
        <f t="shared" si="17"/>
        <v>-12.210490268329865</v>
      </c>
      <c r="AH121">
        <f t="shared" si="15"/>
        <v>-1.5836627015543656</v>
      </c>
      <c r="AI121">
        <f t="shared" si="16"/>
        <v>-0.12615281692412578</v>
      </c>
      <c r="AJ121" s="34">
        <v>5.6635248463279719E-2</v>
      </c>
      <c r="AK121" s="34">
        <v>0.44980547976359875</v>
      </c>
    </row>
    <row r="122" spans="19:37" x14ac:dyDescent="0.25">
      <c r="S122" s="47">
        <f t="shared" si="13"/>
        <v>6.4805583573450312</v>
      </c>
      <c r="T122" s="47">
        <f t="shared" si="14"/>
        <v>11.550274528818852</v>
      </c>
      <c r="U122" s="47"/>
      <c r="V122" s="47"/>
      <c r="W122" s="47">
        <f t="shared" si="12"/>
        <v>11.04330291167147</v>
      </c>
      <c r="X122" s="47">
        <f t="shared" si="17"/>
        <v>10.536331294524087</v>
      </c>
      <c r="Y122" s="47">
        <f t="shared" si="17"/>
        <v>10.029359677376705</v>
      </c>
      <c r="Z122" s="47">
        <f t="shared" si="17"/>
        <v>9.5223880602293249</v>
      </c>
      <c r="AA122" s="47">
        <f t="shared" si="17"/>
        <v>9.015416443081941</v>
      </c>
      <c r="AB122" s="47">
        <f t="shared" si="17"/>
        <v>8.5084448259345589</v>
      </c>
      <c r="AC122" s="47">
        <f t="shared" si="17"/>
        <v>8.0014732087871785</v>
      </c>
      <c r="AD122" s="47">
        <f t="shared" si="17"/>
        <v>7.4945015916397963</v>
      </c>
      <c r="AE122" s="47">
        <f t="shared" si="17"/>
        <v>6.9875299744924133</v>
      </c>
      <c r="AH122">
        <f t="shared" si="15"/>
        <v>-0.20840644080837528</v>
      </c>
      <c r="AI122">
        <f t="shared" si="16"/>
        <v>0.67908618345433258</v>
      </c>
      <c r="AJ122" s="34">
        <v>0.41745581385104724</v>
      </c>
      <c r="AK122" s="34">
        <v>0.75145837184352648</v>
      </c>
    </row>
    <row r="123" spans="19:37" x14ac:dyDescent="0.25">
      <c r="S123" s="47">
        <f t="shared" si="13"/>
        <v>7.6762521048312591</v>
      </c>
      <c r="T123" s="47">
        <f t="shared" si="14"/>
        <v>2.7747659668230114</v>
      </c>
      <c r="U123" s="47"/>
      <c r="V123" s="47"/>
      <c r="W123" s="47">
        <f t="shared" si="12"/>
        <v>3.2649145806238362</v>
      </c>
      <c r="X123" s="47">
        <f t="shared" si="17"/>
        <v>3.7550631944246611</v>
      </c>
      <c r="Y123" s="47">
        <f t="shared" si="17"/>
        <v>4.2452118082254859</v>
      </c>
      <c r="Z123" s="47">
        <f t="shared" si="17"/>
        <v>4.7353604220263108</v>
      </c>
      <c r="AA123" s="47">
        <f t="shared" si="17"/>
        <v>5.2255090358271357</v>
      </c>
      <c r="AB123" s="47">
        <f t="shared" si="17"/>
        <v>5.7156576496279596</v>
      </c>
      <c r="AC123" s="47">
        <f t="shared" si="17"/>
        <v>6.2058062634287845</v>
      </c>
      <c r="AD123" s="47">
        <f t="shared" si="17"/>
        <v>6.6959548772296094</v>
      </c>
      <c r="AE123" s="47">
        <f t="shared" si="17"/>
        <v>7.1861034910304333</v>
      </c>
      <c r="AH123">
        <f t="shared" si="15"/>
        <v>-0.12953482158105156</v>
      </c>
      <c r="AI123">
        <f t="shared" si="16"/>
        <v>-0.94902301172114811</v>
      </c>
      <c r="AJ123" s="34">
        <v>0.44846723670361055</v>
      </c>
      <c r="AK123" s="34">
        <v>0.17130445421285567</v>
      </c>
    </row>
    <row r="124" spans="19:37" x14ac:dyDescent="0.25">
      <c r="S124" s="47">
        <f t="shared" si="13"/>
        <v>12.401677766523033</v>
      </c>
      <c r="T124" s="47">
        <f t="shared" si="14"/>
        <v>2.2002065649352422</v>
      </c>
      <c r="U124" s="47"/>
      <c r="V124" s="47"/>
      <c r="W124" s="47">
        <f t="shared" si="12"/>
        <v>3.2203536850940218</v>
      </c>
      <c r="X124" s="47">
        <f t="shared" si="17"/>
        <v>4.2405008052528004</v>
      </c>
      <c r="Y124" s="47">
        <f t="shared" si="17"/>
        <v>5.2606479254115799</v>
      </c>
      <c r="Z124" s="47">
        <f t="shared" si="17"/>
        <v>6.2807950455703585</v>
      </c>
      <c r="AA124" s="47">
        <f t="shared" si="17"/>
        <v>7.300942165729138</v>
      </c>
      <c r="AB124" s="47">
        <f t="shared" si="17"/>
        <v>8.3210892858879166</v>
      </c>
      <c r="AC124" s="47">
        <f t="shared" si="17"/>
        <v>9.3412364060466953</v>
      </c>
      <c r="AD124" s="47">
        <f t="shared" si="17"/>
        <v>10.361383526205474</v>
      </c>
      <c r="AE124" s="47">
        <f t="shared" si="17"/>
        <v>11.381530646364252</v>
      </c>
      <c r="AH124">
        <f t="shared" si="15"/>
        <v>0.18216871810837948</v>
      </c>
      <c r="AI124">
        <f t="shared" si="16"/>
        <v>-1.0556203033515321</v>
      </c>
      <c r="AJ124" s="34">
        <v>0.57227483923220035</v>
      </c>
      <c r="AK124" s="34">
        <v>0.14557086056743274</v>
      </c>
    </row>
    <row r="125" spans="19:37" x14ac:dyDescent="0.25">
      <c r="S125" s="47">
        <f t="shared" si="13"/>
        <v>16.373891371474759</v>
      </c>
      <c r="T125" s="47">
        <f t="shared" si="14"/>
        <v>-0.5901901902452904</v>
      </c>
      <c r="U125" s="47"/>
      <c r="V125" s="47"/>
      <c r="W125" s="47">
        <f t="shared" si="12"/>
        <v>1.1062179659267146</v>
      </c>
      <c r="X125" s="47">
        <f t="shared" si="17"/>
        <v>2.8026261220987196</v>
      </c>
      <c r="Y125" s="47">
        <f t="shared" si="17"/>
        <v>4.4990342782707256</v>
      </c>
      <c r="Z125" s="47">
        <f t="shared" si="17"/>
        <v>6.1954424344427297</v>
      </c>
      <c r="AA125" s="47">
        <f t="shared" si="17"/>
        <v>7.8918505906147338</v>
      </c>
      <c r="AB125" s="47">
        <f t="shared" si="17"/>
        <v>9.5882587467867388</v>
      </c>
      <c r="AC125" s="47">
        <f t="shared" si="17"/>
        <v>11.284666902958744</v>
      </c>
      <c r="AD125" s="47">
        <f t="shared" si="17"/>
        <v>12.981075059130749</v>
      </c>
      <c r="AE125" s="47">
        <f t="shared" si="17"/>
        <v>14.677483215302752</v>
      </c>
      <c r="AH125">
        <f t="shared" si="15"/>
        <v>0.44418808518962788</v>
      </c>
      <c r="AI125">
        <f t="shared" si="16"/>
        <v>-1.5733191447579389</v>
      </c>
      <c r="AJ125" s="34">
        <v>0.6715466970968279</v>
      </c>
      <c r="AK125" s="34">
        <v>5.7822469262853504E-2</v>
      </c>
    </row>
    <row r="126" spans="19:37" x14ac:dyDescent="0.25">
      <c r="S126" s="47">
        <f t="shared" si="13"/>
        <v>10.502185415086256</v>
      </c>
      <c r="T126" s="47">
        <f t="shared" si="14"/>
        <v>11.990410252985573</v>
      </c>
      <c r="U126" s="47"/>
      <c r="V126" s="47"/>
      <c r="W126" s="47">
        <f t="shared" si="12"/>
        <v>11.841587769195641</v>
      </c>
      <c r="X126" s="47">
        <f t="shared" si="17"/>
        <v>11.692765285405709</v>
      </c>
      <c r="Y126" s="47">
        <f t="shared" si="17"/>
        <v>11.543942801615778</v>
      </c>
      <c r="Z126" s="47">
        <f t="shared" si="17"/>
        <v>11.395120317825846</v>
      </c>
      <c r="AA126" s="47">
        <f t="shared" si="17"/>
        <v>11.246297834035914</v>
      </c>
      <c r="AB126" s="47">
        <f t="shared" si="17"/>
        <v>11.097475350245983</v>
      </c>
      <c r="AC126" s="47">
        <f t="shared" si="17"/>
        <v>10.948652866456051</v>
      </c>
      <c r="AD126" s="47">
        <f t="shared" si="17"/>
        <v>10.799830382666119</v>
      </c>
      <c r="AE126" s="47">
        <f t="shared" si="17"/>
        <v>10.651007898876188</v>
      </c>
      <c r="AH126">
        <f t="shared" si="15"/>
        <v>5.6872388857932367E-2</v>
      </c>
      <c r="AI126">
        <f t="shared" si="16"/>
        <v>0.76074401725149798</v>
      </c>
      <c r="AJ126" s="34">
        <v>0.52267657539919055</v>
      </c>
      <c r="AK126" s="34">
        <v>0.77659501091079863</v>
      </c>
    </row>
    <row r="127" spans="19:37" x14ac:dyDescent="0.25">
      <c r="S127" s="47">
        <f t="shared" si="13"/>
        <v>7.8046967208111484</v>
      </c>
      <c r="T127" s="47">
        <f t="shared" si="14"/>
        <v>10.390779450157705</v>
      </c>
      <c r="U127" s="47"/>
      <c r="V127" s="47"/>
      <c r="W127" s="47">
        <f t="shared" si="12"/>
        <v>10.13217117722305</v>
      </c>
      <c r="X127" s="47">
        <f t="shared" si="17"/>
        <v>9.873562904288395</v>
      </c>
      <c r="Y127" s="47">
        <f t="shared" si="17"/>
        <v>9.6149546313537382</v>
      </c>
      <c r="Z127" s="47">
        <f t="shared" si="17"/>
        <v>9.3563463584190814</v>
      </c>
      <c r="AA127" s="47">
        <f t="shared" si="17"/>
        <v>9.0977380854844263</v>
      </c>
      <c r="AB127" s="47">
        <f t="shared" si="17"/>
        <v>8.8391298125497713</v>
      </c>
      <c r="AC127" s="47">
        <f t="shared" si="17"/>
        <v>8.5805215396151162</v>
      </c>
      <c r="AD127" s="47">
        <f t="shared" si="17"/>
        <v>8.3219132666804594</v>
      </c>
      <c r="AE127" s="47">
        <f t="shared" si="17"/>
        <v>8.0633049937458043</v>
      </c>
      <c r="AH127">
        <f t="shared" si="15"/>
        <v>-0.12106222158237812</v>
      </c>
      <c r="AI127">
        <f t="shared" si="16"/>
        <v>0.46396650281219021</v>
      </c>
      <c r="AJ127" s="34">
        <v>0.45182087592225484</v>
      </c>
      <c r="AK127" s="34">
        <v>0.67866412747137383</v>
      </c>
    </row>
    <row r="128" spans="19:37" x14ac:dyDescent="0.25">
      <c r="S128" s="47">
        <f t="shared" si="13"/>
        <v>19.982939724142636</v>
      </c>
      <c r="T128" s="47">
        <f t="shared" si="14"/>
        <v>2.8117041631100159</v>
      </c>
      <c r="U128" s="47"/>
      <c r="V128" s="47"/>
      <c r="W128" s="47">
        <f t="shared" si="12"/>
        <v>4.528827719213278</v>
      </c>
      <c r="X128" s="47">
        <f t="shared" si="17"/>
        <v>6.24595127531654</v>
      </c>
      <c r="Y128" s="47">
        <f t="shared" si="17"/>
        <v>7.9630748314198021</v>
      </c>
      <c r="Z128" s="47">
        <f t="shared" si="17"/>
        <v>9.6801983875230633</v>
      </c>
      <c r="AA128" s="47">
        <f t="shared" si="17"/>
        <v>11.397321943626325</v>
      </c>
      <c r="AB128" s="47">
        <f t="shared" si="17"/>
        <v>13.114445499729587</v>
      </c>
      <c r="AC128" s="47">
        <f t="shared" si="17"/>
        <v>14.831569055832849</v>
      </c>
      <c r="AD128" s="47">
        <f t="shared" si="17"/>
        <v>16.548692611936112</v>
      </c>
      <c r="AE128" s="47">
        <f t="shared" si="17"/>
        <v>18.265816168039372</v>
      </c>
      <c r="AH128">
        <f t="shared" si="15"/>
        <v>0.68225196069542449</v>
      </c>
      <c r="AI128">
        <f t="shared" si="16"/>
        <v>-0.94216991407977435</v>
      </c>
      <c r="AJ128" s="34">
        <v>0.75246017812197796</v>
      </c>
      <c r="AK128" s="34">
        <v>0.17305282728911708</v>
      </c>
    </row>
    <row r="129" spans="19:37" x14ac:dyDescent="0.25">
      <c r="S129" s="47">
        <f t="shared" si="13"/>
        <v>15.862640568468096</v>
      </c>
      <c r="T129" s="47">
        <f t="shared" si="14"/>
        <v>16.814948903267815</v>
      </c>
      <c r="U129" s="47"/>
      <c r="V129" s="47"/>
      <c r="W129" s="47">
        <f t="shared" si="12"/>
        <v>16.719718069787845</v>
      </c>
      <c r="X129" s="47">
        <f t="shared" si="17"/>
        <v>16.624487236307871</v>
      </c>
      <c r="Y129" s="47">
        <f t="shared" si="17"/>
        <v>16.529256402827897</v>
      </c>
      <c r="Z129" s="47">
        <f t="shared" si="17"/>
        <v>16.434025569347931</v>
      </c>
      <c r="AA129" s="47">
        <f t="shared" si="17"/>
        <v>16.338794735867957</v>
      </c>
      <c r="AB129" s="47">
        <f t="shared" si="17"/>
        <v>16.243563902387983</v>
      </c>
      <c r="AC129" s="47">
        <f t="shared" si="17"/>
        <v>16.148333068908013</v>
      </c>
      <c r="AD129" s="47">
        <f t="shared" si="17"/>
        <v>16.053102235428042</v>
      </c>
      <c r="AE129" s="47">
        <f t="shared" si="17"/>
        <v>15.957871401948069</v>
      </c>
      <c r="AH129">
        <f t="shared" si="15"/>
        <v>0.41046441744512507</v>
      </c>
      <c r="AI129">
        <f t="shared" si="16"/>
        <v>1.655834675930949</v>
      </c>
      <c r="AJ129" s="34">
        <v>0.65926734980787305</v>
      </c>
      <c r="AK129" s="34">
        <v>0.95112234829769882</v>
      </c>
    </row>
    <row r="130" spans="19:37" x14ac:dyDescent="0.25">
      <c r="S130" s="47">
        <f t="shared" si="13"/>
        <v>-6.1664228180340181</v>
      </c>
      <c r="T130" s="47">
        <f t="shared" si="14"/>
        <v>-0.36512797945826225</v>
      </c>
      <c r="U130" s="47"/>
      <c r="V130" s="47"/>
      <c r="W130" s="47">
        <f t="shared" si="12"/>
        <v>-0.94525746331583793</v>
      </c>
      <c r="X130" s="47">
        <f t="shared" si="17"/>
        <v>-1.5253869471734136</v>
      </c>
      <c r="Y130" s="47">
        <f t="shared" si="17"/>
        <v>-2.1055164310309893</v>
      </c>
      <c r="Z130" s="47">
        <f t="shared" si="17"/>
        <v>-2.685645914888565</v>
      </c>
      <c r="AA130" s="47">
        <f t="shared" si="17"/>
        <v>-3.2657753987461402</v>
      </c>
      <c r="AB130" s="47">
        <f t="shared" si="17"/>
        <v>-3.8459048826037154</v>
      </c>
      <c r="AC130" s="47">
        <f t="shared" si="17"/>
        <v>-4.4260343664612911</v>
      </c>
      <c r="AD130" s="47">
        <f t="shared" si="17"/>
        <v>-5.0061638503188668</v>
      </c>
      <c r="AE130" s="47">
        <f t="shared" si="17"/>
        <v>-5.5862933341764416</v>
      </c>
      <c r="AH130">
        <f t="shared" si="15"/>
        <v>-1.0426400275748033</v>
      </c>
      <c r="AI130">
        <f t="shared" si="16"/>
        <v>-1.5315636325525532</v>
      </c>
      <c r="AJ130" s="34">
        <v>0.14855752168037939</v>
      </c>
      <c r="AK130" s="34">
        <v>6.2815076315691609E-2</v>
      </c>
    </row>
    <row r="131" spans="19:37" x14ac:dyDescent="0.25">
      <c r="S131" s="47">
        <f t="shared" si="13"/>
        <v>0.66994538672629034</v>
      </c>
      <c r="T131" s="47">
        <f t="shared" si="14"/>
        <v>10.535523514685638</v>
      </c>
      <c r="U131" s="47"/>
      <c r="V131" s="47"/>
      <c r="W131" s="47">
        <f t="shared" si="12"/>
        <v>9.5489657018897027</v>
      </c>
      <c r="X131" s="47">
        <f t="shared" si="17"/>
        <v>8.5624078890937696</v>
      </c>
      <c r="Y131" s="47">
        <f t="shared" si="17"/>
        <v>7.5758500762978329</v>
      </c>
      <c r="Z131" s="47">
        <f t="shared" si="17"/>
        <v>6.589292263501898</v>
      </c>
      <c r="AA131" s="47">
        <f t="shared" si="17"/>
        <v>5.602734450705964</v>
      </c>
      <c r="AB131" s="47">
        <f t="shared" si="17"/>
        <v>4.61617663791003</v>
      </c>
      <c r="AC131" s="47">
        <f t="shared" si="17"/>
        <v>3.6296188251140946</v>
      </c>
      <c r="AD131" s="47">
        <f t="shared" si="17"/>
        <v>2.6430610123181602</v>
      </c>
      <c r="AE131" s="47">
        <f t="shared" si="17"/>
        <v>1.6565031995222261</v>
      </c>
      <c r="AH131">
        <f t="shared" si="15"/>
        <v>-0.59169225681225002</v>
      </c>
      <c r="AI131">
        <f t="shared" si="16"/>
        <v>0.49082068918100891</v>
      </c>
      <c r="AJ131" s="34">
        <v>0.27702834129793608</v>
      </c>
      <c r="AK131" s="34">
        <v>0.68822336215806512</v>
      </c>
    </row>
    <row r="132" spans="19:37" x14ac:dyDescent="0.25">
      <c r="S132" s="47">
        <f t="shared" si="13"/>
        <v>2.3744539080396576</v>
      </c>
      <c r="T132" s="47">
        <f t="shared" si="14"/>
        <v>10.514060780714328</v>
      </c>
      <c r="U132" s="47"/>
      <c r="V132" s="47"/>
      <c r="W132" s="47">
        <f t="shared" si="12"/>
        <v>9.7001000934468617</v>
      </c>
      <c r="X132" s="47">
        <f t="shared" si="17"/>
        <v>8.8861394061793924</v>
      </c>
      <c r="Y132" s="47">
        <f t="shared" si="17"/>
        <v>8.0721787189119265</v>
      </c>
      <c r="Z132" s="47">
        <f t="shared" si="17"/>
        <v>7.2582180316444598</v>
      </c>
      <c r="AA132" s="47">
        <f t="shared" si="17"/>
        <v>6.444257344376993</v>
      </c>
      <c r="AB132" s="47">
        <f t="shared" si="17"/>
        <v>5.6302966571095254</v>
      </c>
      <c r="AC132" s="47">
        <f t="shared" si="17"/>
        <v>4.8163359698420596</v>
      </c>
      <c r="AD132" s="47">
        <f t="shared" si="17"/>
        <v>4.002375282574592</v>
      </c>
      <c r="AE132" s="47">
        <f t="shared" si="17"/>
        <v>3.1884145953071252</v>
      </c>
      <c r="AH132">
        <f t="shared" si="15"/>
        <v>-0.47925765778102525</v>
      </c>
      <c r="AI132">
        <f t="shared" si="16"/>
        <v>0.48683873482640577</v>
      </c>
      <c r="AJ132" s="34">
        <v>0.31587767032545266</v>
      </c>
      <c r="AK132" s="34">
        <v>0.68681369099011114</v>
      </c>
    </row>
    <row r="133" spans="19:37" x14ac:dyDescent="0.25">
      <c r="S133" s="47">
        <f t="shared" si="13"/>
        <v>42.884213064968364</v>
      </c>
      <c r="T133" s="47">
        <f t="shared" si="14"/>
        <v>10.208837784946729</v>
      </c>
      <c r="U133" s="47"/>
      <c r="V133" s="47"/>
      <c r="W133" s="47">
        <f t="shared" si="12"/>
        <v>13.476375312948893</v>
      </c>
      <c r="X133" s="47">
        <f t="shared" si="17"/>
        <v>16.743912840951054</v>
      </c>
      <c r="Y133" s="47">
        <f t="shared" si="17"/>
        <v>20.01145036895322</v>
      </c>
      <c r="Z133" s="47">
        <f t="shared" si="17"/>
        <v>23.278987896955382</v>
      </c>
      <c r="AA133" s="47">
        <f t="shared" si="17"/>
        <v>26.546525424957547</v>
      </c>
      <c r="AB133" s="47">
        <f t="shared" si="17"/>
        <v>29.814062952959709</v>
      </c>
      <c r="AC133" s="47">
        <f t="shared" si="17"/>
        <v>33.081600480961868</v>
      </c>
      <c r="AD133" s="47">
        <f t="shared" si="17"/>
        <v>36.34913800896404</v>
      </c>
      <c r="AE133" s="47">
        <f t="shared" si="17"/>
        <v>39.616675536966191</v>
      </c>
      <c r="AH133">
        <f t="shared" si="15"/>
        <v>2.1928900438633483</v>
      </c>
      <c r="AI133">
        <f t="shared" si="16"/>
        <v>0.43021109182685136</v>
      </c>
      <c r="AJ133" s="34">
        <v>0.98584234888963063</v>
      </c>
      <c r="AK133" s="34">
        <v>0.66647895288792813</v>
      </c>
    </row>
    <row r="134" spans="19:37" x14ac:dyDescent="0.25">
      <c r="S134" s="47">
        <f t="shared" si="13"/>
        <v>-0.38673783665123018</v>
      </c>
      <c r="T134" s="47">
        <f t="shared" si="14"/>
        <v>12.582000263145538</v>
      </c>
      <c r="U134" s="47"/>
      <c r="V134" s="47"/>
      <c r="W134" s="47">
        <f t="shared" si="12"/>
        <v>11.285126453165862</v>
      </c>
      <c r="X134" s="47">
        <f t="shared" si="17"/>
        <v>9.9882526431861844</v>
      </c>
      <c r="Y134" s="47">
        <f t="shared" si="17"/>
        <v>8.6913788332065067</v>
      </c>
      <c r="Z134" s="47">
        <f t="shared" si="17"/>
        <v>7.3945050232268308</v>
      </c>
      <c r="AA134" s="47">
        <f t="shared" si="17"/>
        <v>6.097631213247154</v>
      </c>
      <c r="AB134" s="47">
        <f t="shared" si="17"/>
        <v>4.8007574032674771</v>
      </c>
      <c r="AC134" s="47">
        <f t="shared" si="17"/>
        <v>3.5038835932878007</v>
      </c>
      <c r="AD134" s="47">
        <f t="shared" si="17"/>
        <v>2.2070097833081244</v>
      </c>
      <c r="AE134" s="47">
        <f t="shared" si="17"/>
        <v>0.91013597332844776</v>
      </c>
      <c r="AH134">
        <f t="shared" si="15"/>
        <v>-0.66139431640179625</v>
      </c>
      <c r="AI134">
        <f t="shared" si="16"/>
        <v>0.8705009764648497</v>
      </c>
      <c r="AJ134" s="34">
        <v>0.25417973494179225</v>
      </c>
      <c r="AK134" s="34">
        <v>0.80798665709242246</v>
      </c>
    </row>
    <row r="135" spans="19:37" x14ac:dyDescent="0.25">
      <c r="S135" s="47">
        <f t="shared" si="13"/>
        <v>13.280943129806174</v>
      </c>
      <c r="T135" s="47">
        <f t="shared" si="14"/>
        <v>8.932040833892156</v>
      </c>
      <c r="U135" s="47"/>
      <c r="V135" s="47"/>
      <c r="W135" s="47">
        <f t="shared" si="12"/>
        <v>9.366931063483559</v>
      </c>
      <c r="X135" s="47">
        <f t="shared" si="12"/>
        <v>9.8018212930749602</v>
      </c>
      <c r="Y135" s="47">
        <f t="shared" si="12"/>
        <v>10.236711522666361</v>
      </c>
      <c r="Z135" s="47">
        <f t="shared" si="12"/>
        <v>10.671601752257764</v>
      </c>
      <c r="AA135" s="47">
        <f t="shared" si="12"/>
        <v>11.106491981849164</v>
      </c>
      <c r="AB135" s="47">
        <f t="shared" si="12"/>
        <v>11.541382211440567</v>
      </c>
      <c r="AC135" s="47">
        <f t="shared" si="12"/>
        <v>11.976272441031968</v>
      </c>
      <c r="AD135" s="47">
        <f t="shared" si="12"/>
        <v>12.411162670623369</v>
      </c>
      <c r="AE135" s="47">
        <f t="shared" si="12"/>
        <v>12.846052900214771</v>
      </c>
      <c r="AH135">
        <f t="shared" si="15"/>
        <v>0.24016775262573703</v>
      </c>
      <c r="AI135">
        <f t="shared" si="16"/>
        <v>0.19332854061078977</v>
      </c>
      <c r="AJ135" s="34">
        <v>0.59489989409352728</v>
      </c>
      <c r="AK135" s="34">
        <v>0.57664916211681272</v>
      </c>
    </row>
    <row r="136" spans="19:37" x14ac:dyDescent="0.25">
      <c r="S136" s="47">
        <f t="shared" si="13"/>
        <v>47.132411027869267</v>
      </c>
      <c r="T136" s="47">
        <f t="shared" si="14"/>
        <v>8.6014005801698694</v>
      </c>
      <c r="U136" s="47"/>
      <c r="V136" s="47"/>
      <c r="W136" s="47">
        <f t="shared" ref="W136:AE164" si="18">$S136*W$7+$T136*W$8</f>
        <v>12.454501624939809</v>
      </c>
      <c r="X136" s="47">
        <f t="shared" si="18"/>
        <v>16.307602669709748</v>
      </c>
      <c r="Y136" s="47">
        <f t="shared" si="18"/>
        <v>20.160703714479691</v>
      </c>
      <c r="Z136" s="47">
        <f t="shared" si="18"/>
        <v>24.013804759249627</v>
      </c>
      <c r="AA136" s="47">
        <f t="shared" si="18"/>
        <v>27.866905804019567</v>
      </c>
      <c r="AB136" s="47">
        <f t="shared" si="18"/>
        <v>31.720006848789509</v>
      </c>
      <c r="AC136" s="47">
        <f t="shared" si="18"/>
        <v>35.573107893559452</v>
      </c>
      <c r="AD136" s="47">
        <f t="shared" si="18"/>
        <v>39.426208938329388</v>
      </c>
      <c r="AE136" s="47">
        <f t="shared" si="18"/>
        <v>43.279309983099324</v>
      </c>
      <c r="AH136">
        <f t="shared" si="15"/>
        <v>2.4731141838963895</v>
      </c>
      <c r="AI136">
        <f t="shared" si="16"/>
        <v>0.13198526533763819</v>
      </c>
      <c r="AJ136" s="34">
        <v>0.993302932979649</v>
      </c>
      <c r="AK136" s="34">
        <v>0.55250202682926841</v>
      </c>
    </row>
    <row r="137" spans="19:37" x14ac:dyDescent="0.25">
      <c r="S137" s="47">
        <f t="shared" si="13"/>
        <v>26.866429163746993</v>
      </c>
      <c r="T137" s="47">
        <f t="shared" si="14"/>
        <v>0.97458139296484347</v>
      </c>
      <c r="U137" s="47"/>
      <c r="V137" s="47"/>
      <c r="W137" s="47">
        <f t="shared" si="18"/>
        <v>3.563766170043059</v>
      </c>
      <c r="X137" s="47">
        <f t="shared" si="18"/>
        <v>6.1529509471212744</v>
      </c>
      <c r="Y137" s="47">
        <f t="shared" si="18"/>
        <v>8.742135724199489</v>
      </c>
      <c r="Z137" s="47">
        <f t="shared" si="18"/>
        <v>11.331320501277705</v>
      </c>
      <c r="AA137" s="47">
        <f t="shared" si="18"/>
        <v>13.920505278355918</v>
      </c>
      <c r="AB137" s="47">
        <f t="shared" si="18"/>
        <v>16.509690055434131</v>
      </c>
      <c r="AC137" s="47">
        <f t="shared" si="18"/>
        <v>19.098874832512344</v>
      </c>
      <c r="AD137" s="47">
        <f t="shared" si="18"/>
        <v>21.688059609590564</v>
      </c>
      <c r="AE137" s="47">
        <f t="shared" si="18"/>
        <v>24.277244386668777</v>
      </c>
      <c r="AH137">
        <f t="shared" si="15"/>
        <v>1.1363079923315957</v>
      </c>
      <c r="AI137">
        <f t="shared" si="16"/>
        <v>-1.283009018002812</v>
      </c>
      <c r="AJ137" s="34">
        <v>0.87208615648526644</v>
      </c>
      <c r="AK137" s="34">
        <v>9.9744458339933839E-2</v>
      </c>
    </row>
    <row r="138" spans="19:37" x14ac:dyDescent="0.25">
      <c r="S138" s="47">
        <f t="shared" si="13"/>
        <v>15.787839390652092</v>
      </c>
      <c r="T138" s="47">
        <f t="shared" si="14"/>
        <v>6.0172377674527953</v>
      </c>
      <c r="U138" s="47"/>
      <c r="V138" s="47"/>
      <c r="W138" s="47">
        <f t="shared" si="18"/>
        <v>6.994297929772725</v>
      </c>
      <c r="X138" s="47">
        <f t="shared" si="18"/>
        <v>7.9713580920926548</v>
      </c>
      <c r="Y138" s="47">
        <f t="shared" si="18"/>
        <v>8.9484182544125837</v>
      </c>
      <c r="Z138" s="47">
        <f t="shared" si="18"/>
        <v>9.9254784167325134</v>
      </c>
      <c r="AA138" s="47">
        <f t="shared" si="18"/>
        <v>10.902538579052443</v>
      </c>
      <c r="AB138" s="47">
        <f t="shared" si="18"/>
        <v>11.879598741372373</v>
      </c>
      <c r="AC138" s="47">
        <f t="shared" si="18"/>
        <v>12.856658903692303</v>
      </c>
      <c r="AD138" s="47">
        <f t="shared" si="18"/>
        <v>13.833719066012231</v>
      </c>
      <c r="AE138" s="47">
        <f t="shared" si="18"/>
        <v>14.81077922833216</v>
      </c>
      <c r="AH138">
        <f t="shared" si="15"/>
        <v>0.40553030281346247</v>
      </c>
      <c r="AI138">
        <f t="shared" si="16"/>
        <v>-0.34745124908111402</v>
      </c>
      <c r="AJ138" s="34">
        <v>0.65745612564604861</v>
      </c>
      <c r="AK138" s="34">
        <v>0.36412616867593872</v>
      </c>
    </row>
    <row r="139" spans="19:37" x14ac:dyDescent="0.25">
      <c r="S139" s="47">
        <f t="shared" ref="S139:S202" si="19">9.64+15.16*AH139</f>
        <v>9.0732943927508138</v>
      </c>
      <c r="T139" s="47">
        <f t="shared" ref="T139:T202" si="20">7.89+5.39*AI139</f>
        <v>6.7484605058582066</v>
      </c>
      <c r="U139" s="47"/>
      <c r="V139" s="47"/>
      <c r="W139" s="47">
        <f t="shared" si="18"/>
        <v>6.9809438945474671</v>
      </c>
      <c r="X139" s="47">
        <f t="shared" si="18"/>
        <v>7.2134272832367285</v>
      </c>
      <c r="Y139" s="47">
        <f t="shared" si="18"/>
        <v>7.4459106719259882</v>
      </c>
      <c r="Z139" s="47">
        <f t="shared" si="18"/>
        <v>7.6783940606152496</v>
      </c>
      <c r="AA139" s="47">
        <f t="shared" si="18"/>
        <v>7.9108774493045102</v>
      </c>
      <c r="AB139" s="47">
        <f t="shared" si="18"/>
        <v>8.1433608379937716</v>
      </c>
      <c r="AC139" s="47">
        <f t="shared" si="18"/>
        <v>8.3758442266830322</v>
      </c>
      <c r="AD139" s="47">
        <f t="shared" si="18"/>
        <v>8.6083276153722927</v>
      </c>
      <c r="AE139" s="47">
        <f t="shared" si="18"/>
        <v>8.8408110040615515</v>
      </c>
      <c r="AH139">
        <f t="shared" ref="AH139:AH202" si="21">_xlfn.NORM.S.INV(AJ139)</f>
        <v>-3.7381636362083602E-2</v>
      </c>
      <c r="AI139">
        <f t="shared" ref="AI139:AI202" si="22">_xlfn.NORM.S.INV(AK139)</f>
        <v>-0.21178840336582444</v>
      </c>
      <c r="AJ139" s="34">
        <v>0.485090357248255</v>
      </c>
      <c r="AK139" s="34">
        <v>0.41613605804090781</v>
      </c>
    </row>
    <row r="140" spans="19:37" x14ac:dyDescent="0.25">
      <c r="S140" s="47">
        <f t="shared" si="19"/>
        <v>22.723436328230115</v>
      </c>
      <c r="T140" s="47">
        <f t="shared" si="20"/>
        <v>0.66282640630557932</v>
      </c>
      <c r="U140" s="47"/>
      <c r="V140" s="47"/>
      <c r="W140" s="47">
        <f t="shared" si="18"/>
        <v>2.8688873984980328</v>
      </c>
      <c r="X140" s="47">
        <f t="shared" si="18"/>
        <v>5.0749483906904862</v>
      </c>
      <c r="Y140" s="47">
        <f t="shared" si="18"/>
        <v>7.2810093828829405</v>
      </c>
      <c r="Z140" s="47">
        <f t="shared" si="18"/>
        <v>9.487070375075394</v>
      </c>
      <c r="AA140" s="47">
        <f t="shared" si="18"/>
        <v>11.693131367267847</v>
      </c>
      <c r="AB140" s="47">
        <f t="shared" si="18"/>
        <v>13.899192359460301</v>
      </c>
      <c r="AC140" s="47">
        <f t="shared" si="18"/>
        <v>16.105253351652753</v>
      </c>
      <c r="AD140" s="47">
        <f t="shared" si="18"/>
        <v>18.311314343845204</v>
      </c>
      <c r="AE140" s="47">
        <f t="shared" si="18"/>
        <v>20.517375336037659</v>
      </c>
      <c r="AH140">
        <f t="shared" si="21"/>
        <v>0.86302350450066712</v>
      </c>
      <c r="AI140">
        <f t="shared" si="22"/>
        <v>-1.3408485331529538</v>
      </c>
      <c r="AJ140" s="34">
        <v>0.80593772800814434</v>
      </c>
      <c r="AK140" s="34">
        <v>8.9984817515224469E-2</v>
      </c>
    </row>
    <row r="141" spans="19:37" x14ac:dyDescent="0.25">
      <c r="S141" s="47">
        <f t="shared" si="19"/>
        <v>38.510207895567689</v>
      </c>
      <c r="T141" s="47">
        <f t="shared" si="20"/>
        <v>15.792417697810855</v>
      </c>
      <c r="U141" s="47"/>
      <c r="V141" s="47"/>
      <c r="W141" s="47">
        <f t="shared" si="18"/>
        <v>18.06419671758654</v>
      </c>
      <c r="X141" s="47">
        <f t="shared" si="18"/>
        <v>20.335975737362222</v>
      </c>
      <c r="Y141" s="47">
        <f t="shared" si="18"/>
        <v>22.607754757137904</v>
      </c>
      <c r="Z141" s="47">
        <f t="shared" si="18"/>
        <v>24.87953377691359</v>
      </c>
      <c r="AA141" s="47">
        <f t="shared" si="18"/>
        <v>27.151312796689272</v>
      </c>
      <c r="AB141" s="47">
        <f t="shared" si="18"/>
        <v>29.423091816464954</v>
      </c>
      <c r="AC141" s="47">
        <f t="shared" si="18"/>
        <v>31.694870836240639</v>
      </c>
      <c r="AD141" s="47">
        <f t="shared" si="18"/>
        <v>33.966649856016318</v>
      </c>
      <c r="AE141" s="47">
        <f t="shared" si="18"/>
        <v>36.238428875792003</v>
      </c>
      <c r="AH141">
        <f t="shared" si="21"/>
        <v>1.9043672754332246</v>
      </c>
      <c r="AI141">
        <f t="shared" si="22"/>
        <v>1.4661257324324408</v>
      </c>
      <c r="AJ141" s="34">
        <v>0.9715688159744692</v>
      </c>
      <c r="AK141" s="34">
        <v>0.92869298170781245</v>
      </c>
    </row>
    <row r="142" spans="19:37" x14ac:dyDescent="0.25">
      <c r="S142" s="47">
        <f t="shared" si="19"/>
        <v>11.906308099671802</v>
      </c>
      <c r="T142" s="47">
        <f t="shared" si="20"/>
        <v>15.630726650020961</v>
      </c>
      <c r="U142" s="47"/>
      <c r="V142" s="47"/>
      <c r="W142" s="47">
        <f t="shared" si="18"/>
        <v>15.258284794986045</v>
      </c>
      <c r="X142" s="47">
        <f t="shared" si="18"/>
        <v>14.885842939951129</v>
      </c>
      <c r="Y142" s="47">
        <f t="shared" si="18"/>
        <v>14.513401084916215</v>
      </c>
      <c r="Z142" s="47">
        <f t="shared" si="18"/>
        <v>14.140959229881297</v>
      </c>
      <c r="AA142" s="47">
        <f t="shared" si="18"/>
        <v>13.768517374846382</v>
      </c>
      <c r="AB142" s="47">
        <f t="shared" si="18"/>
        <v>13.396075519811465</v>
      </c>
      <c r="AC142" s="47">
        <f t="shared" si="18"/>
        <v>13.02363366477655</v>
      </c>
      <c r="AD142" s="47">
        <f t="shared" si="18"/>
        <v>12.651191809741633</v>
      </c>
      <c r="AE142" s="47">
        <f t="shared" si="18"/>
        <v>12.278749954706718</v>
      </c>
      <c r="AH142">
        <f t="shared" si="21"/>
        <v>0.14949261871186029</v>
      </c>
      <c r="AI142">
        <f t="shared" si="22"/>
        <v>1.436127393324854</v>
      </c>
      <c r="AJ142" s="34">
        <v>0.55941753333109512</v>
      </c>
      <c r="AK142" s="34">
        <v>0.92451695272132173</v>
      </c>
    </row>
    <row r="143" spans="19:37" x14ac:dyDescent="0.25">
      <c r="S143" s="47">
        <f t="shared" si="19"/>
        <v>10.719480079763684</v>
      </c>
      <c r="T143" s="47">
        <f t="shared" si="20"/>
        <v>9.2788263423449937</v>
      </c>
      <c r="U143" s="47"/>
      <c r="V143" s="47"/>
      <c r="W143" s="47">
        <f t="shared" si="18"/>
        <v>9.4228917160868626</v>
      </c>
      <c r="X143" s="47">
        <f t="shared" si="18"/>
        <v>9.5669570898287333</v>
      </c>
      <c r="Y143" s="47">
        <f t="shared" si="18"/>
        <v>9.7110224635706004</v>
      </c>
      <c r="Z143" s="47">
        <f t="shared" si="18"/>
        <v>9.8550878373124711</v>
      </c>
      <c r="AA143" s="47">
        <f t="shared" si="18"/>
        <v>9.9991532110543382</v>
      </c>
      <c r="AB143" s="47">
        <f t="shared" si="18"/>
        <v>10.143218584796209</v>
      </c>
      <c r="AC143" s="47">
        <f t="shared" si="18"/>
        <v>10.287283958538078</v>
      </c>
      <c r="AD143" s="47">
        <f t="shared" si="18"/>
        <v>10.431349332279947</v>
      </c>
      <c r="AE143" s="47">
        <f t="shared" si="18"/>
        <v>10.575414706021816</v>
      </c>
      <c r="AH143">
        <f t="shared" si="21"/>
        <v>7.1205810010797052E-2</v>
      </c>
      <c r="AI143">
        <f t="shared" si="22"/>
        <v>0.25766722492485972</v>
      </c>
      <c r="AJ143" s="34">
        <v>0.52838302128157566</v>
      </c>
      <c r="AK143" s="34">
        <v>0.60166812856491692</v>
      </c>
    </row>
    <row r="144" spans="19:37" x14ac:dyDescent="0.25">
      <c r="S144" s="47">
        <f t="shared" si="19"/>
        <v>36.453379333558985</v>
      </c>
      <c r="T144" s="47">
        <f t="shared" si="20"/>
        <v>20.496546807745855</v>
      </c>
      <c r="U144" s="47"/>
      <c r="V144" s="47"/>
      <c r="W144" s="47">
        <f t="shared" si="18"/>
        <v>22.092230060327168</v>
      </c>
      <c r="X144" s="47">
        <f t="shared" si="18"/>
        <v>23.687913312908481</v>
      </c>
      <c r="Y144" s="47">
        <f t="shared" si="18"/>
        <v>25.283596565489795</v>
      </c>
      <c r="Z144" s="47">
        <f t="shared" si="18"/>
        <v>26.879279818071108</v>
      </c>
      <c r="AA144" s="47">
        <f t="shared" si="18"/>
        <v>28.474963070652421</v>
      </c>
      <c r="AB144" s="47">
        <f t="shared" si="18"/>
        <v>30.070646323233731</v>
      </c>
      <c r="AC144" s="47">
        <f t="shared" si="18"/>
        <v>31.666329575815045</v>
      </c>
      <c r="AD144" s="47">
        <f t="shared" si="18"/>
        <v>33.262012828396358</v>
      </c>
      <c r="AE144" s="47">
        <f t="shared" si="18"/>
        <v>34.857696080977668</v>
      </c>
      <c r="AH144">
        <f t="shared" si="21"/>
        <v>1.7686925681767141</v>
      </c>
      <c r="AI144">
        <f t="shared" si="22"/>
        <v>2.3388769587654652</v>
      </c>
      <c r="AJ144" s="34">
        <v>0.96152740340294962</v>
      </c>
      <c r="AK144" s="34">
        <v>0.99032909885287146</v>
      </c>
    </row>
    <row r="145" spans="19:37" x14ac:dyDescent="0.25">
      <c r="S145" s="47">
        <f t="shared" si="19"/>
        <v>5.201338601011547</v>
      </c>
      <c r="T145" s="47">
        <f t="shared" si="20"/>
        <v>13.433822617361514</v>
      </c>
      <c r="U145" s="47"/>
      <c r="V145" s="47"/>
      <c r="W145" s="47">
        <f t="shared" si="18"/>
        <v>12.610574215726517</v>
      </c>
      <c r="X145" s="47">
        <f t="shared" si="18"/>
        <v>11.78732581409152</v>
      </c>
      <c r="Y145" s="47">
        <f t="shared" si="18"/>
        <v>10.964077412456524</v>
      </c>
      <c r="Z145" s="47">
        <f t="shared" si="18"/>
        <v>10.140829010821527</v>
      </c>
      <c r="AA145" s="47">
        <f t="shared" si="18"/>
        <v>9.3175806091865301</v>
      </c>
      <c r="AB145" s="47">
        <f t="shared" si="18"/>
        <v>8.4943322075515333</v>
      </c>
      <c r="AC145" s="47">
        <f t="shared" si="18"/>
        <v>7.6710838059165374</v>
      </c>
      <c r="AD145" s="47">
        <f t="shared" si="18"/>
        <v>6.8478354042815415</v>
      </c>
      <c r="AE145" s="47">
        <f t="shared" si="18"/>
        <v>6.0245870026465447</v>
      </c>
      <c r="AH145">
        <f t="shared" si="21"/>
        <v>-0.29278769122615128</v>
      </c>
      <c r="AI145">
        <f t="shared" si="22"/>
        <v>1.0285385189910048</v>
      </c>
      <c r="AJ145" s="34">
        <v>0.38484221858060064</v>
      </c>
      <c r="AK145" s="34">
        <v>0.84815170931014905</v>
      </c>
    </row>
    <row r="146" spans="19:37" x14ac:dyDescent="0.25">
      <c r="S146" s="47">
        <f t="shared" si="19"/>
        <v>12.058933796908395</v>
      </c>
      <c r="T146" s="47">
        <f t="shared" si="20"/>
        <v>10.579664454062064</v>
      </c>
      <c r="U146" s="47"/>
      <c r="V146" s="47"/>
      <c r="W146" s="47">
        <f t="shared" si="18"/>
        <v>10.727591388346697</v>
      </c>
      <c r="X146" s="47">
        <f t="shared" si="18"/>
        <v>10.875518322631329</v>
      </c>
      <c r="Y146" s="47">
        <f t="shared" si="18"/>
        <v>11.023445256915963</v>
      </c>
      <c r="Z146" s="47">
        <f t="shared" si="18"/>
        <v>11.171372191200597</v>
      </c>
      <c r="AA146" s="47">
        <f t="shared" si="18"/>
        <v>11.31929912548523</v>
      </c>
      <c r="AB146" s="47">
        <f t="shared" si="18"/>
        <v>11.467226059769862</v>
      </c>
      <c r="AC146" s="47">
        <f t="shared" si="18"/>
        <v>11.615152994054496</v>
      </c>
      <c r="AD146" s="47">
        <f t="shared" si="18"/>
        <v>11.763079928339128</v>
      </c>
      <c r="AE146" s="47">
        <f t="shared" si="18"/>
        <v>11.911006862623761</v>
      </c>
      <c r="AH146">
        <f t="shared" si="21"/>
        <v>0.15956027684092311</v>
      </c>
      <c r="AI146">
        <f t="shared" si="22"/>
        <v>0.49901010279444602</v>
      </c>
      <c r="AJ146" s="34">
        <v>0.56338626376410295</v>
      </c>
      <c r="AK146" s="34">
        <v>0.69111386658669038</v>
      </c>
    </row>
    <row r="147" spans="19:37" x14ac:dyDescent="0.25">
      <c r="S147" s="47">
        <f t="shared" si="19"/>
        <v>4.4452299742914105</v>
      </c>
      <c r="T147" s="47">
        <f t="shared" si="20"/>
        <v>11.514913235778616</v>
      </c>
      <c r="U147" s="47"/>
      <c r="V147" s="47"/>
      <c r="W147" s="47">
        <f t="shared" si="18"/>
        <v>10.807944909629896</v>
      </c>
      <c r="X147" s="47">
        <f t="shared" si="18"/>
        <v>10.100976583481176</v>
      </c>
      <c r="Y147" s="47">
        <f t="shared" si="18"/>
        <v>9.3940082573324535</v>
      </c>
      <c r="Z147" s="47">
        <f t="shared" si="18"/>
        <v>8.6870399311837332</v>
      </c>
      <c r="AA147" s="47">
        <f t="shared" si="18"/>
        <v>7.9800716050350129</v>
      </c>
      <c r="AB147" s="47">
        <f t="shared" si="18"/>
        <v>7.2731032788862926</v>
      </c>
      <c r="AC147" s="47">
        <f t="shared" si="18"/>
        <v>6.5661349527375723</v>
      </c>
      <c r="AD147" s="47">
        <f t="shared" si="18"/>
        <v>5.859166626588852</v>
      </c>
      <c r="AE147" s="47">
        <f t="shared" si="18"/>
        <v>5.1521983004401317</v>
      </c>
      <c r="AH147">
        <f t="shared" si="21"/>
        <v>-0.34266293045571172</v>
      </c>
      <c r="AI147">
        <f t="shared" si="22"/>
        <v>0.67252564671217374</v>
      </c>
      <c r="AJ147" s="34">
        <v>0.36592602665226692</v>
      </c>
      <c r="AK147" s="34">
        <v>0.74937544072128703</v>
      </c>
    </row>
    <row r="148" spans="19:37" x14ac:dyDescent="0.25">
      <c r="S148" s="47">
        <f t="shared" si="19"/>
        <v>13.693580868956571</v>
      </c>
      <c r="T148" s="47">
        <f t="shared" si="20"/>
        <v>6.5871314469970246</v>
      </c>
      <c r="U148" s="47"/>
      <c r="V148" s="47"/>
      <c r="W148" s="47">
        <f t="shared" si="18"/>
        <v>7.297776389192979</v>
      </c>
      <c r="X148" s="47">
        <f t="shared" si="18"/>
        <v>8.0084213313889343</v>
      </c>
      <c r="Y148" s="47">
        <f t="shared" si="18"/>
        <v>8.7190662735848896</v>
      </c>
      <c r="Z148" s="47">
        <f t="shared" si="18"/>
        <v>9.4297112157808431</v>
      </c>
      <c r="AA148" s="47">
        <f t="shared" si="18"/>
        <v>10.140356157976798</v>
      </c>
      <c r="AB148" s="47">
        <f t="shared" si="18"/>
        <v>10.851001100172752</v>
      </c>
      <c r="AC148" s="47">
        <f t="shared" si="18"/>
        <v>11.561646042368707</v>
      </c>
      <c r="AD148" s="47">
        <f t="shared" si="18"/>
        <v>12.272290984564661</v>
      </c>
      <c r="AE148" s="47">
        <f t="shared" si="18"/>
        <v>12.982935926760616</v>
      </c>
      <c r="AH148">
        <f t="shared" si="21"/>
        <v>0.26738660085465504</v>
      </c>
      <c r="AI148">
        <f t="shared" si="22"/>
        <v>-0.24171958311743511</v>
      </c>
      <c r="AJ148" s="34">
        <v>0.60541424251855869</v>
      </c>
      <c r="AK148" s="34">
        <v>0.40449872716456869</v>
      </c>
    </row>
    <row r="149" spans="19:37" x14ac:dyDescent="0.25">
      <c r="S149" s="47">
        <f t="shared" si="19"/>
        <v>4.2833514138647963</v>
      </c>
      <c r="T149" s="47">
        <f t="shared" si="20"/>
        <v>8.6611714073214241</v>
      </c>
      <c r="U149" s="47"/>
      <c r="V149" s="47"/>
      <c r="W149" s="47">
        <f t="shared" si="18"/>
        <v>8.2233894079757608</v>
      </c>
      <c r="X149" s="47">
        <f t="shared" si="18"/>
        <v>7.7856074086300984</v>
      </c>
      <c r="Y149" s="47">
        <f t="shared" si="18"/>
        <v>7.3478254092844359</v>
      </c>
      <c r="Z149" s="47">
        <f t="shared" si="18"/>
        <v>6.9100434099387726</v>
      </c>
      <c r="AA149" s="47">
        <f t="shared" si="18"/>
        <v>6.4722614105931102</v>
      </c>
      <c r="AB149" s="47">
        <f t="shared" si="18"/>
        <v>6.0344794112474478</v>
      </c>
      <c r="AC149" s="47">
        <f t="shared" si="18"/>
        <v>5.5966974119017845</v>
      </c>
      <c r="AD149" s="47">
        <f t="shared" si="18"/>
        <v>5.1589154125561221</v>
      </c>
      <c r="AE149" s="47">
        <f t="shared" si="18"/>
        <v>4.7211334132104597</v>
      </c>
      <c r="AH149">
        <f t="shared" si="21"/>
        <v>-0.35334093576089737</v>
      </c>
      <c r="AI149">
        <f t="shared" si="22"/>
        <v>0.14307447260137734</v>
      </c>
      <c r="AJ149" s="34">
        <v>0.36191642994095763</v>
      </c>
      <c r="AK149" s="34">
        <v>0.55688431729131826</v>
      </c>
    </row>
    <row r="150" spans="19:37" x14ac:dyDescent="0.25">
      <c r="S150" s="47">
        <f t="shared" si="19"/>
        <v>5.3209741415439549</v>
      </c>
      <c r="T150" s="47">
        <f t="shared" si="20"/>
        <v>1.2964190497226635</v>
      </c>
      <c r="U150" s="47"/>
      <c r="V150" s="47"/>
      <c r="W150" s="47">
        <f t="shared" si="18"/>
        <v>1.6988745589047927</v>
      </c>
      <c r="X150" s="47">
        <f t="shared" si="18"/>
        <v>2.1013300680869218</v>
      </c>
      <c r="Y150" s="47">
        <f t="shared" si="18"/>
        <v>2.5037855772690509</v>
      </c>
      <c r="Z150" s="47">
        <f t="shared" si="18"/>
        <v>2.9062410864511801</v>
      </c>
      <c r="AA150" s="47">
        <f t="shared" si="18"/>
        <v>3.3086965956333092</v>
      </c>
      <c r="AB150" s="47">
        <f t="shared" si="18"/>
        <v>3.7111521048154383</v>
      </c>
      <c r="AC150" s="47">
        <f t="shared" si="18"/>
        <v>4.1136076139975675</v>
      </c>
      <c r="AD150" s="47">
        <f t="shared" si="18"/>
        <v>4.5160631231796966</v>
      </c>
      <c r="AE150" s="47">
        <f t="shared" si="18"/>
        <v>4.9185186323618248</v>
      </c>
      <c r="AH150">
        <f t="shared" si="21"/>
        <v>-0.28489616480580776</v>
      </c>
      <c r="AI150">
        <f t="shared" si="22"/>
        <v>-1.2232988776024742</v>
      </c>
      <c r="AJ150" s="34">
        <v>0.38786184716206662</v>
      </c>
      <c r="AK150" s="34">
        <v>0.1106084154731698</v>
      </c>
    </row>
    <row r="151" spans="19:37" x14ac:dyDescent="0.25">
      <c r="S151" s="47">
        <f t="shared" si="19"/>
        <v>33.630363481098428</v>
      </c>
      <c r="T151" s="47">
        <f t="shared" si="20"/>
        <v>10.44516909654096</v>
      </c>
      <c r="U151" s="47"/>
      <c r="V151" s="47"/>
      <c r="W151" s="47">
        <f t="shared" si="18"/>
        <v>12.763688534996707</v>
      </c>
      <c r="X151" s="47">
        <f t="shared" si="18"/>
        <v>15.082207973452455</v>
      </c>
      <c r="Y151" s="47">
        <f t="shared" si="18"/>
        <v>17.4007274119082</v>
      </c>
      <c r="Z151" s="47">
        <f t="shared" si="18"/>
        <v>19.719246850363948</v>
      </c>
      <c r="AA151" s="47">
        <f t="shared" si="18"/>
        <v>22.037766288819693</v>
      </c>
      <c r="AB151" s="47">
        <f t="shared" si="18"/>
        <v>24.356285727275438</v>
      </c>
      <c r="AC151" s="47">
        <f t="shared" si="18"/>
        <v>26.674805165731186</v>
      </c>
      <c r="AD151" s="47">
        <f t="shared" si="18"/>
        <v>28.993324604186931</v>
      </c>
      <c r="AE151" s="47">
        <f t="shared" si="18"/>
        <v>31.311844042642679</v>
      </c>
      <c r="AH151">
        <f t="shared" si="21"/>
        <v>1.5824778021832735</v>
      </c>
      <c r="AI151">
        <f t="shared" si="22"/>
        <v>0.47405734629702428</v>
      </c>
      <c r="AJ151" s="34">
        <v>0.94322973206881056</v>
      </c>
      <c r="AK151" s="34">
        <v>0.68227049301889253</v>
      </c>
    </row>
    <row r="152" spans="19:37" x14ac:dyDescent="0.25">
      <c r="S152" s="47">
        <f t="shared" si="19"/>
        <v>16.83238294987795</v>
      </c>
      <c r="T152" s="47">
        <f t="shared" si="20"/>
        <v>0.82988239006483866</v>
      </c>
      <c r="U152" s="47"/>
      <c r="V152" s="47"/>
      <c r="W152" s="47">
        <f t="shared" si="18"/>
        <v>2.4301324460461498</v>
      </c>
      <c r="X152" s="47">
        <f t="shared" si="18"/>
        <v>4.0303825020274608</v>
      </c>
      <c r="Y152" s="47">
        <f t="shared" si="18"/>
        <v>5.6306325580087728</v>
      </c>
      <c r="Z152" s="47">
        <f t="shared" si="18"/>
        <v>7.2308826139900839</v>
      </c>
      <c r="AA152" s="47">
        <f t="shared" si="18"/>
        <v>8.8311326699713941</v>
      </c>
      <c r="AB152" s="47">
        <f t="shared" si="18"/>
        <v>10.431382725952705</v>
      </c>
      <c r="AC152" s="47">
        <f t="shared" si="18"/>
        <v>12.031632781934015</v>
      </c>
      <c r="AD152" s="47">
        <f t="shared" si="18"/>
        <v>13.631882837915327</v>
      </c>
      <c r="AE152" s="47">
        <f t="shared" si="18"/>
        <v>15.232132893896637</v>
      </c>
      <c r="AH152">
        <f t="shared" si="21"/>
        <v>0.47443159299986476</v>
      </c>
      <c r="AI152">
        <f t="shared" si="22"/>
        <v>-1.3098548441438147</v>
      </c>
      <c r="AJ152" s="34">
        <v>0.68240391578334492</v>
      </c>
      <c r="AK152" s="34">
        <v>9.5122472772594224E-2</v>
      </c>
    </row>
    <row r="153" spans="19:37" x14ac:dyDescent="0.25">
      <c r="S153" s="47">
        <f t="shared" si="19"/>
        <v>-21.962404666345822</v>
      </c>
      <c r="T153" s="47">
        <f t="shared" si="20"/>
        <v>9.9272946041822774</v>
      </c>
      <c r="U153" s="47"/>
      <c r="V153" s="47"/>
      <c r="W153" s="47">
        <f t="shared" si="18"/>
        <v>6.7383246771294676</v>
      </c>
      <c r="X153" s="47">
        <f t="shared" si="18"/>
        <v>3.5493547500766569</v>
      </c>
      <c r="Y153" s="47">
        <f t="shared" si="18"/>
        <v>0.36038482302384622</v>
      </c>
      <c r="Z153" s="47">
        <f t="shared" si="18"/>
        <v>-2.8285851040289636</v>
      </c>
      <c r="AA153" s="47">
        <f t="shared" si="18"/>
        <v>-6.0175550310817725</v>
      </c>
      <c r="AB153" s="47">
        <f t="shared" si="18"/>
        <v>-9.2065249581345814</v>
      </c>
      <c r="AC153" s="47">
        <f t="shared" si="18"/>
        <v>-12.395494885187391</v>
      </c>
      <c r="AD153" s="47">
        <f t="shared" si="18"/>
        <v>-15.584464812240201</v>
      </c>
      <c r="AE153" s="47">
        <f t="shared" si="18"/>
        <v>-18.773434739293009</v>
      </c>
      <c r="AH153">
        <f t="shared" si="21"/>
        <v>-2.0845913368301994</v>
      </c>
      <c r="AI153">
        <f t="shared" si="22"/>
        <v>0.37797673546981042</v>
      </c>
      <c r="AJ153" s="34">
        <v>1.8553205767259273E-2</v>
      </c>
      <c r="AK153" s="34">
        <v>0.64727606170595042</v>
      </c>
    </row>
    <row r="154" spans="19:37" x14ac:dyDescent="0.25">
      <c r="S154" s="47">
        <f t="shared" si="19"/>
        <v>44.941480740633523</v>
      </c>
      <c r="T154" s="47">
        <f t="shared" si="20"/>
        <v>1.1171910269239484</v>
      </c>
      <c r="U154" s="47"/>
      <c r="V154" s="47"/>
      <c r="W154" s="47">
        <f t="shared" si="18"/>
        <v>5.4996199982949063</v>
      </c>
      <c r="X154" s="47">
        <f t="shared" si="18"/>
        <v>9.8820489696658651</v>
      </c>
      <c r="Y154" s="47">
        <f t="shared" si="18"/>
        <v>14.264477941036823</v>
      </c>
      <c r="Z154" s="47">
        <f t="shared" si="18"/>
        <v>18.646906912407779</v>
      </c>
      <c r="AA154" s="47">
        <f t="shared" si="18"/>
        <v>23.029335883778735</v>
      </c>
      <c r="AB154" s="47">
        <f t="shared" si="18"/>
        <v>27.411764855149691</v>
      </c>
      <c r="AC154" s="47">
        <f t="shared" si="18"/>
        <v>31.794193826520651</v>
      </c>
      <c r="AD154" s="47">
        <f t="shared" si="18"/>
        <v>36.176622797891604</v>
      </c>
      <c r="AE154" s="47">
        <f t="shared" si="18"/>
        <v>40.559051769262567</v>
      </c>
      <c r="AH154">
        <f t="shared" si="21"/>
        <v>2.3285937164006283</v>
      </c>
      <c r="AI154">
        <f t="shared" si="22"/>
        <v>-1.2565508298842396</v>
      </c>
      <c r="AJ154" s="34">
        <v>0.99005970036829827</v>
      </c>
      <c r="AK154" s="34">
        <v>0.10445816454627466</v>
      </c>
    </row>
    <row r="155" spans="19:37" x14ac:dyDescent="0.25">
      <c r="S155" s="47">
        <f t="shared" si="19"/>
        <v>-22.252434580694132</v>
      </c>
      <c r="T155" s="47">
        <f t="shared" si="20"/>
        <v>4.8355649237549621</v>
      </c>
      <c r="U155" s="47"/>
      <c r="V155" s="47"/>
      <c r="W155" s="47">
        <f t="shared" si="18"/>
        <v>2.1267649733100527</v>
      </c>
      <c r="X155" s="47">
        <f t="shared" si="18"/>
        <v>-0.58203497713485675</v>
      </c>
      <c r="Y155" s="47">
        <f t="shared" si="18"/>
        <v>-3.2908349275797679</v>
      </c>
      <c r="Z155" s="47">
        <f t="shared" si="18"/>
        <v>-5.9996348780246764</v>
      </c>
      <c r="AA155" s="47">
        <f t="shared" si="18"/>
        <v>-8.7084348284695849</v>
      </c>
      <c r="AB155" s="47">
        <f t="shared" si="18"/>
        <v>-11.417234778914494</v>
      </c>
      <c r="AC155" s="47">
        <f t="shared" si="18"/>
        <v>-14.126034729359402</v>
      </c>
      <c r="AD155" s="47">
        <f t="shared" si="18"/>
        <v>-16.83483467980431</v>
      </c>
      <c r="AE155" s="47">
        <f t="shared" si="18"/>
        <v>-19.543634630249223</v>
      </c>
      <c r="AH155">
        <f t="shared" si="21"/>
        <v>-2.1037225976711169</v>
      </c>
      <c r="AI155">
        <f t="shared" si="22"/>
        <v>-0.56668554290260431</v>
      </c>
      <c r="AJ155" s="34">
        <v>1.7701326030958864E-2</v>
      </c>
      <c r="AK155" s="34">
        <v>0.28546392240662433</v>
      </c>
    </row>
    <row r="156" spans="19:37" x14ac:dyDescent="0.25">
      <c r="S156" s="47">
        <f t="shared" si="19"/>
        <v>12.497574800655681</v>
      </c>
      <c r="T156" s="47">
        <f t="shared" si="20"/>
        <v>10.251300540880251</v>
      </c>
      <c r="U156" s="47"/>
      <c r="V156" s="47"/>
      <c r="W156" s="47">
        <f t="shared" si="18"/>
        <v>10.475927966857794</v>
      </c>
      <c r="X156" s="47">
        <f t="shared" si="18"/>
        <v>10.700555392835339</v>
      </c>
      <c r="Y156" s="47">
        <f t="shared" si="18"/>
        <v>10.92518281881288</v>
      </c>
      <c r="Z156" s="47">
        <f t="shared" si="18"/>
        <v>11.149810244790423</v>
      </c>
      <c r="AA156" s="47">
        <f t="shared" si="18"/>
        <v>11.374437670767966</v>
      </c>
      <c r="AB156" s="47">
        <f t="shared" si="18"/>
        <v>11.599065096745509</v>
      </c>
      <c r="AC156" s="47">
        <f t="shared" si="18"/>
        <v>11.823692522723052</v>
      </c>
      <c r="AD156" s="47">
        <f t="shared" si="18"/>
        <v>12.048319948700595</v>
      </c>
      <c r="AE156" s="47">
        <f t="shared" si="18"/>
        <v>12.272947374678138</v>
      </c>
      <c r="AH156">
        <f t="shared" si="21"/>
        <v>0.18849437999048027</v>
      </c>
      <c r="AI156">
        <f t="shared" si="22"/>
        <v>0.43808915415218042</v>
      </c>
      <c r="AJ156" s="34">
        <v>0.57475543966235432</v>
      </c>
      <c r="AK156" s="34">
        <v>0.66933917184240943</v>
      </c>
    </row>
    <row r="157" spans="19:37" x14ac:dyDescent="0.25">
      <c r="S157" s="47">
        <f t="shared" si="19"/>
        <v>27.397581610158291</v>
      </c>
      <c r="T157" s="47">
        <f t="shared" si="20"/>
        <v>11.238119927522128</v>
      </c>
      <c r="U157" s="47"/>
      <c r="V157" s="47"/>
      <c r="W157" s="47">
        <f t="shared" si="18"/>
        <v>12.854066095785743</v>
      </c>
      <c r="X157" s="47">
        <f t="shared" si="18"/>
        <v>14.470012264049361</v>
      </c>
      <c r="Y157" s="47">
        <f t="shared" si="18"/>
        <v>16.085958432312978</v>
      </c>
      <c r="Z157" s="47">
        <f t="shared" si="18"/>
        <v>17.701904600576594</v>
      </c>
      <c r="AA157" s="47">
        <f t="shared" si="18"/>
        <v>19.317850768840209</v>
      </c>
      <c r="AB157" s="47">
        <f t="shared" si="18"/>
        <v>20.933796937103825</v>
      </c>
      <c r="AC157" s="47">
        <f t="shared" si="18"/>
        <v>22.54974310536744</v>
      </c>
      <c r="AD157" s="47">
        <f t="shared" si="18"/>
        <v>24.165689273631056</v>
      </c>
      <c r="AE157" s="47">
        <f t="shared" si="18"/>
        <v>25.781635441894672</v>
      </c>
      <c r="AH157">
        <f t="shared" si="21"/>
        <v>1.1713444333877501</v>
      </c>
      <c r="AI157">
        <f t="shared" si="22"/>
        <v>0.62117252829724068</v>
      </c>
      <c r="AJ157" s="34">
        <v>0.87926982105319929</v>
      </c>
      <c r="AK157" s="34">
        <v>0.73275694368905475</v>
      </c>
    </row>
    <row r="158" spans="19:37" x14ac:dyDescent="0.25">
      <c r="S158" s="47">
        <f t="shared" si="19"/>
        <v>16.457306296566301</v>
      </c>
      <c r="T158" s="47">
        <f t="shared" si="20"/>
        <v>14.967857836574353</v>
      </c>
      <c r="U158" s="47"/>
      <c r="V158" s="47"/>
      <c r="W158" s="47">
        <f t="shared" si="18"/>
        <v>15.11680268257355</v>
      </c>
      <c r="X158" s="47">
        <f t="shared" si="18"/>
        <v>15.265747528572744</v>
      </c>
      <c r="Y158" s="47">
        <f t="shared" si="18"/>
        <v>15.414692374571938</v>
      </c>
      <c r="Z158" s="47">
        <f t="shared" si="18"/>
        <v>15.563637220571133</v>
      </c>
      <c r="AA158" s="47">
        <f t="shared" si="18"/>
        <v>15.712582066570327</v>
      </c>
      <c r="AB158" s="47">
        <f t="shared" si="18"/>
        <v>15.861526912569522</v>
      </c>
      <c r="AC158" s="47">
        <f t="shared" si="18"/>
        <v>16.010471758568716</v>
      </c>
      <c r="AD158" s="47">
        <f t="shared" si="18"/>
        <v>16.159416604567912</v>
      </c>
      <c r="AE158" s="47">
        <f t="shared" si="18"/>
        <v>16.308361450567105</v>
      </c>
      <c r="AH158">
        <f t="shared" si="21"/>
        <v>0.44969038895556074</v>
      </c>
      <c r="AI158">
        <f t="shared" si="22"/>
        <v>1.3131461663403254</v>
      </c>
      <c r="AJ158" s="34">
        <v>0.67353314880816151</v>
      </c>
      <c r="AK158" s="34">
        <v>0.90543315002956015</v>
      </c>
    </row>
    <row r="159" spans="19:37" x14ac:dyDescent="0.25">
      <c r="S159" s="47">
        <f t="shared" si="19"/>
        <v>17.711752547371042</v>
      </c>
      <c r="T159" s="47">
        <f t="shared" si="20"/>
        <v>9.5106050579973402</v>
      </c>
      <c r="U159" s="47"/>
      <c r="V159" s="47"/>
      <c r="W159" s="47">
        <f t="shared" si="18"/>
        <v>10.330719806934709</v>
      </c>
      <c r="X159" s="47">
        <f t="shared" si="18"/>
        <v>11.150834555872081</v>
      </c>
      <c r="Y159" s="47">
        <f t="shared" si="18"/>
        <v>11.970949304809452</v>
      </c>
      <c r="Z159" s="47">
        <f t="shared" si="18"/>
        <v>12.791064053746821</v>
      </c>
      <c r="AA159" s="47">
        <f t="shared" si="18"/>
        <v>13.61117880268419</v>
      </c>
      <c r="AB159" s="47">
        <f t="shared" si="18"/>
        <v>14.431293551621561</v>
      </c>
      <c r="AC159" s="47">
        <f t="shared" si="18"/>
        <v>15.25140830055893</v>
      </c>
      <c r="AD159" s="47">
        <f t="shared" si="18"/>
        <v>16.0715230494963</v>
      </c>
      <c r="AE159" s="47">
        <f t="shared" si="18"/>
        <v>16.891637798433671</v>
      </c>
      <c r="AH159">
        <f t="shared" si="21"/>
        <v>0.53243750312473892</v>
      </c>
      <c r="AI159">
        <f t="shared" si="22"/>
        <v>0.30066884192900556</v>
      </c>
      <c r="AJ159" s="34">
        <v>0.70278849183790371</v>
      </c>
      <c r="AK159" s="34">
        <v>0.61816648474179126</v>
      </c>
    </row>
    <row r="160" spans="19:37" x14ac:dyDescent="0.25">
      <c r="S160" s="47">
        <f t="shared" si="19"/>
        <v>14.826266169923976</v>
      </c>
      <c r="T160" s="47">
        <f t="shared" si="20"/>
        <v>-2.8970010144056593</v>
      </c>
      <c r="U160" s="47"/>
      <c r="V160" s="47"/>
      <c r="W160" s="47">
        <f t="shared" si="18"/>
        <v>-1.1246742959726956</v>
      </c>
      <c r="X160" s="47">
        <f t="shared" si="18"/>
        <v>0.64765242246026755</v>
      </c>
      <c r="Y160" s="47">
        <f t="shared" si="18"/>
        <v>2.4199791408932319</v>
      </c>
      <c r="Z160" s="47">
        <f t="shared" si="18"/>
        <v>4.1923058593261953</v>
      </c>
      <c r="AA160" s="47">
        <f t="shared" si="18"/>
        <v>5.9646325777591578</v>
      </c>
      <c r="AB160" s="47">
        <f t="shared" si="18"/>
        <v>7.7369592961921203</v>
      </c>
      <c r="AC160" s="47">
        <f t="shared" si="18"/>
        <v>9.5092860146250846</v>
      </c>
      <c r="AD160" s="47">
        <f t="shared" si="18"/>
        <v>11.281612733058047</v>
      </c>
      <c r="AE160" s="47">
        <f t="shared" si="18"/>
        <v>13.053939451491011</v>
      </c>
      <c r="AH160">
        <f t="shared" si="21"/>
        <v>0.34210199010052605</v>
      </c>
      <c r="AI160">
        <f t="shared" si="22"/>
        <v>-2.0012988895001222</v>
      </c>
      <c r="AJ160" s="34">
        <v>0.6338629300823222</v>
      </c>
      <c r="AK160" s="34">
        <v>2.2680094678441232E-2</v>
      </c>
    </row>
    <row r="161" spans="19:37" x14ac:dyDescent="0.25">
      <c r="S161" s="47">
        <f t="shared" si="19"/>
        <v>19.380868603634575</v>
      </c>
      <c r="T161" s="47">
        <f t="shared" si="20"/>
        <v>13.45636847916332</v>
      </c>
      <c r="U161" s="47"/>
      <c r="V161" s="47"/>
      <c r="W161" s="47">
        <f t="shared" si="18"/>
        <v>14.048818491610445</v>
      </c>
      <c r="X161" s="47">
        <f t="shared" si="18"/>
        <v>14.641268504057571</v>
      </c>
      <c r="Y161" s="47">
        <f t="shared" si="18"/>
        <v>15.233718516504696</v>
      </c>
      <c r="Z161" s="47">
        <f t="shared" si="18"/>
        <v>15.826168528951822</v>
      </c>
      <c r="AA161" s="47">
        <f t="shared" si="18"/>
        <v>16.418618541398949</v>
      </c>
      <c r="AB161" s="47">
        <f t="shared" si="18"/>
        <v>17.011068553846073</v>
      </c>
      <c r="AC161" s="47">
        <f t="shared" si="18"/>
        <v>17.603518566293197</v>
      </c>
      <c r="AD161" s="47">
        <f t="shared" si="18"/>
        <v>18.195968578740324</v>
      </c>
      <c r="AE161" s="47">
        <f t="shared" si="18"/>
        <v>18.788418591187448</v>
      </c>
      <c r="AH161">
        <f t="shared" si="21"/>
        <v>0.64253750683605371</v>
      </c>
      <c r="AI161">
        <f t="shared" si="22"/>
        <v>1.0327214247056251</v>
      </c>
      <c r="AJ161" s="34">
        <v>0.73973787772455846</v>
      </c>
      <c r="AK161" s="34">
        <v>0.8491328578587185</v>
      </c>
    </row>
    <row r="162" spans="19:37" x14ac:dyDescent="0.25">
      <c r="S162" s="47">
        <f t="shared" si="19"/>
        <v>10.539732464469655</v>
      </c>
      <c r="T162" s="47">
        <f t="shared" si="20"/>
        <v>5.3218613110387096</v>
      </c>
      <c r="U162" s="47"/>
      <c r="V162" s="47"/>
      <c r="W162" s="47">
        <f t="shared" si="18"/>
        <v>5.8436484263818045</v>
      </c>
      <c r="X162" s="47">
        <f t="shared" si="18"/>
        <v>6.3654355417248993</v>
      </c>
      <c r="Y162" s="47">
        <f t="shared" si="18"/>
        <v>6.8872226570679933</v>
      </c>
      <c r="Z162" s="47">
        <f t="shared" si="18"/>
        <v>7.4090097724110873</v>
      </c>
      <c r="AA162" s="47">
        <f t="shared" si="18"/>
        <v>7.9307968877541821</v>
      </c>
      <c r="AB162" s="47">
        <f t="shared" si="18"/>
        <v>8.452584003097277</v>
      </c>
      <c r="AC162" s="47">
        <f t="shared" si="18"/>
        <v>8.9743711184403701</v>
      </c>
      <c r="AD162" s="47">
        <f t="shared" si="18"/>
        <v>9.4961582337834649</v>
      </c>
      <c r="AE162" s="47">
        <f t="shared" si="18"/>
        <v>10.01794534912656</v>
      </c>
      <c r="AH162">
        <f t="shared" si="21"/>
        <v>5.934910715499038E-2</v>
      </c>
      <c r="AI162">
        <f t="shared" si="22"/>
        <v>-0.47646357865701128</v>
      </c>
      <c r="AJ162" s="34">
        <v>0.52366297591828848</v>
      </c>
      <c r="AK162" s="34">
        <v>0.31687207445127241</v>
      </c>
    </row>
    <row r="163" spans="19:37" x14ac:dyDescent="0.25">
      <c r="S163" s="47">
        <f t="shared" si="19"/>
        <v>-6.035462195398404</v>
      </c>
      <c r="T163" s="47">
        <f t="shared" si="20"/>
        <v>7.2705300703931348</v>
      </c>
      <c r="U163" s="47"/>
      <c r="V163" s="47"/>
      <c r="W163" s="47">
        <f t="shared" si="18"/>
        <v>5.9399308438139808</v>
      </c>
      <c r="X163" s="47">
        <f t="shared" si="18"/>
        <v>4.6093316172348278</v>
      </c>
      <c r="Y163" s="47">
        <f t="shared" si="18"/>
        <v>3.2787323906556729</v>
      </c>
      <c r="Z163" s="47">
        <f t="shared" si="18"/>
        <v>1.9481331640765189</v>
      </c>
      <c r="AA163" s="47">
        <f t="shared" si="18"/>
        <v>0.6175339374973654</v>
      </c>
      <c r="AB163" s="47">
        <f t="shared" si="18"/>
        <v>-0.71306528908178812</v>
      </c>
      <c r="AC163" s="47">
        <f t="shared" si="18"/>
        <v>-2.0436645156609416</v>
      </c>
      <c r="AD163" s="47">
        <f t="shared" si="18"/>
        <v>-3.3742637422400952</v>
      </c>
      <c r="AE163" s="47">
        <f t="shared" si="18"/>
        <v>-4.7048629688192491</v>
      </c>
      <c r="AH163">
        <f t="shared" si="21"/>
        <v>-1.0340014640764119</v>
      </c>
      <c r="AI163">
        <f t="shared" si="22"/>
        <v>-0.11492948601240541</v>
      </c>
      <c r="AJ163" s="34">
        <v>0.15056773939369517</v>
      </c>
      <c r="AK163" s="34">
        <v>0.45425050674383782</v>
      </c>
    </row>
    <row r="164" spans="19:37" x14ac:dyDescent="0.25">
      <c r="S164" s="47">
        <f t="shared" si="19"/>
        <v>6.835436186233224</v>
      </c>
      <c r="T164" s="47">
        <f t="shared" si="20"/>
        <v>14.601191971691666</v>
      </c>
      <c r="U164" s="47"/>
      <c r="V164" s="47"/>
      <c r="W164" s="47">
        <f t="shared" si="18"/>
        <v>13.824616393145821</v>
      </c>
      <c r="X164" s="47">
        <f t="shared" si="18"/>
        <v>13.048040814599979</v>
      </c>
      <c r="Y164" s="47">
        <f t="shared" si="18"/>
        <v>12.271465236054132</v>
      </c>
      <c r="Z164" s="47">
        <f t="shared" ref="X164:AE196" si="23">$S164*Z$7+$T164*Z$8</f>
        <v>11.49488965750829</v>
      </c>
      <c r="AA164" s="47">
        <f t="shared" si="23"/>
        <v>10.718314078962445</v>
      </c>
      <c r="AB164" s="47">
        <f t="shared" si="23"/>
        <v>9.9417385004166015</v>
      </c>
      <c r="AC164" s="47">
        <f t="shared" si="23"/>
        <v>9.1651629218707562</v>
      </c>
      <c r="AD164" s="47">
        <f t="shared" si="23"/>
        <v>8.3885873433249127</v>
      </c>
      <c r="AE164" s="47">
        <f t="shared" si="23"/>
        <v>7.6120117647790693</v>
      </c>
      <c r="AH164">
        <f t="shared" si="21"/>
        <v>-0.18499761304530188</v>
      </c>
      <c r="AI164">
        <f t="shared" si="22"/>
        <v>1.2451191042099565</v>
      </c>
      <c r="AJ164" s="34">
        <v>0.42661545388711875</v>
      </c>
      <c r="AK164" s="34">
        <v>0.89345601365078642</v>
      </c>
    </row>
    <row r="165" spans="19:37" x14ac:dyDescent="0.25">
      <c r="S165" s="47">
        <f t="shared" si="19"/>
        <v>-7.9310365779022405</v>
      </c>
      <c r="T165" s="47">
        <f t="shared" si="20"/>
        <v>6.817355371689394</v>
      </c>
      <c r="U165" s="47"/>
      <c r="V165" s="47"/>
      <c r="W165" s="47">
        <f t="shared" ref="W165:W210" si="24">$S165*W$7+$T165*W$8</f>
        <v>5.3425161767302303</v>
      </c>
      <c r="X165" s="47">
        <f t="shared" si="23"/>
        <v>3.8676769817710674</v>
      </c>
      <c r="Y165" s="47">
        <f t="shared" si="23"/>
        <v>2.3928377868119028</v>
      </c>
      <c r="Z165" s="47">
        <f t="shared" si="23"/>
        <v>0.91799859185273958</v>
      </c>
      <c r="AA165" s="47">
        <f t="shared" si="23"/>
        <v>-0.55684060310642325</v>
      </c>
      <c r="AB165" s="47">
        <f t="shared" si="23"/>
        <v>-2.0316797980655861</v>
      </c>
      <c r="AC165" s="47">
        <f t="shared" si="23"/>
        <v>-3.5065189930247498</v>
      </c>
      <c r="AD165" s="47">
        <f t="shared" si="23"/>
        <v>-4.9813581879839122</v>
      </c>
      <c r="AE165" s="47">
        <f t="shared" si="23"/>
        <v>-6.4561973829430759</v>
      </c>
      <c r="AH165">
        <f t="shared" si="21"/>
        <v>-1.1590393521043694</v>
      </c>
      <c r="AI165">
        <f t="shared" si="22"/>
        <v>-0.19900642454742221</v>
      </c>
      <c r="AJ165" s="34">
        <v>0.12322007244902944</v>
      </c>
      <c r="AK165" s="34">
        <v>0.42112885952459178</v>
      </c>
    </row>
    <row r="166" spans="19:37" x14ac:dyDescent="0.25">
      <c r="S166" s="47">
        <f t="shared" si="19"/>
        <v>31.514293195523784</v>
      </c>
      <c r="T166" s="47">
        <f t="shared" si="20"/>
        <v>22.356031449785142</v>
      </c>
      <c r="U166" s="47"/>
      <c r="V166" s="47"/>
      <c r="W166" s="47">
        <f t="shared" si="24"/>
        <v>23.271857624359008</v>
      </c>
      <c r="X166" s="47">
        <f t="shared" si="23"/>
        <v>24.187683798932873</v>
      </c>
      <c r="Y166" s="47">
        <f t="shared" si="23"/>
        <v>25.103509973506736</v>
      </c>
      <c r="Z166" s="47">
        <f t="shared" si="23"/>
        <v>26.019336148080598</v>
      </c>
      <c r="AA166" s="47">
        <f t="shared" si="23"/>
        <v>26.935162322654463</v>
      </c>
      <c r="AB166" s="47">
        <f t="shared" si="23"/>
        <v>27.850988497228329</v>
      </c>
      <c r="AC166" s="47">
        <f t="shared" si="23"/>
        <v>28.766814671802191</v>
      </c>
      <c r="AD166" s="47">
        <f t="shared" si="23"/>
        <v>29.682640846376053</v>
      </c>
      <c r="AE166" s="47">
        <f t="shared" si="23"/>
        <v>30.598467020949919</v>
      </c>
      <c r="AH166">
        <f t="shared" si="21"/>
        <v>1.4428953295200384</v>
      </c>
      <c r="AI166">
        <f t="shared" si="22"/>
        <v>2.6838648329842569</v>
      </c>
      <c r="AJ166" s="34">
        <v>0.92547502048221875</v>
      </c>
      <c r="AK166" s="34">
        <v>0.99636117385813749</v>
      </c>
    </row>
    <row r="167" spans="19:37" x14ac:dyDescent="0.25">
      <c r="S167" s="47">
        <f t="shared" si="19"/>
        <v>-1.7821129671607761</v>
      </c>
      <c r="T167" s="47">
        <f t="shared" si="20"/>
        <v>2.5654384562888071</v>
      </c>
      <c r="U167" s="47"/>
      <c r="V167" s="47"/>
      <c r="W167" s="47">
        <f t="shared" si="24"/>
        <v>2.130683313943849</v>
      </c>
      <c r="X167" s="47">
        <f t="shared" si="23"/>
        <v>1.6959281715988905</v>
      </c>
      <c r="Y167" s="47">
        <f t="shared" si="23"/>
        <v>1.261173029253932</v>
      </c>
      <c r="Z167" s="47">
        <f t="shared" si="23"/>
        <v>0.82641788690897378</v>
      </c>
      <c r="AA167" s="47">
        <f t="shared" si="23"/>
        <v>0.39166274456401551</v>
      </c>
      <c r="AB167" s="47">
        <f t="shared" si="23"/>
        <v>-4.3092397780942759E-2</v>
      </c>
      <c r="AC167" s="47">
        <f t="shared" si="23"/>
        <v>-0.47784754012590103</v>
      </c>
      <c r="AD167" s="47">
        <f t="shared" si="23"/>
        <v>-0.91260268247085907</v>
      </c>
      <c r="AE167" s="47">
        <f t="shared" si="23"/>
        <v>-1.3473578248158173</v>
      </c>
      <c r="AH167">
        <f t="shared" si="21"/>
        <v>-0.75343753081535469</v>
      </c>
      <c r="AI167">
        <f t="shared" si="22"/>
        <v>-0.98785928454753114</v>
      </c>
      <c r="AJ167" s="34">
        <v>0.22559351847267017</v>
      </c>
      <c r="AK167" s="34">
        <v>0.16161078408254625</v>
      </c>
    </row>
    <row r="168" spans="19:37" x14ac:dyDescent="0.25">
      <c r="S168" s="47">
        <f t="shared" si="19"/>
        <v>19.765188001857943</v>
      </c>
      <c r="T168" s="47">
        <f t="shared" si="20"/>
        <v>11.127333085661526</v>
      </c>
      <c r="U168" s="47"/>
      <c r="V168" s="47"/>
      <c r="W168" s="47">
        <f t="shared" si="24"/>
        <v>11.991118577281167</v>
      </c>
      <c r="X168" s="47">
        <f t="shared" si="23"/>
        <v>12.85490406890081</v>
      </c>
      <c r="Y168" s="47">
        <f t="shared" si="23"/>
        <v>13.718689560520451</v>
      </c>
      <c r="Z168" s="47">
        <f t="shared" si="23"/>
        <v>14.582475052140094</v>
      </c>
      <c r="AA168" s="47">
        <f t="shared" si="23"/>
        <v>15.446260543759735</v>
      </c>
      <c r="AB168" s="47">
        <f t="shared" si="23"/>
        <v>16.310046035379376</v>
      </c>
      <c r="AC168" s="47">
        <f t="shared" si="23"/>
        <v>17.173831526999017</v>
      </c>
      <c r="AD168" s="47">
        <f t="shared" si="23"/>
        <v>18.037617018618658</v>
      </c>
      <c r="AE168" s="47">
        <f t="shared" si="23"/>
        <v>18.901402510238299</v>
      </c>
      <c r="AH168">
        <f t="shared" si="21"/>
        <v>0.66788839062387484</v>
      </c>
      <c r="AI168">
        <f t="shared" si="22"/>
        <v>0.60061838323961536</v>
      </c>
      <c r="AJ168" s="34">
        <v>0.74789758074358359</v>
      </c>
      <c r="AK168" s="34">
        <v>0.72595290452367078</v>
      </c>
    </row>
    <row r="169" spans="19:37" x14ac:dyDescent="0.25">
      <c r="S169" s="47">
        <f t="shared" si="19"/>
        <v>27.989958545008491</v>
      </c>
      <c r="T169" s="47">
        <f t="shared" si="20"/>
        <v>14.194371531697442</v>
      </c>
      <c r="U169" s="47"/>
      <c r="V169" s="47"/>
      <c r="W169" s="47">
        <f t="shared" si="24"/>
        <v>15.573930233028548</v>
      </c>
      <c r="X169" s="47">
        <f t="shared" si="23"/>
        <v>16.953488934359655</v>
      </c>
      <c r="Y169" s="47">
        <f t="shared" si="23"/>
        <v>18.333047635690757</v>
      </c>
      <c r="Z169" s="47">
        <f t="shared" si="23"/>
        <v>19.71260633702186</v>
      </c>
      <c r="AA169" s="47">
        <f t="shared" si="23"/>
        <v>21.092165038352967</v>
      </c>
      <c r="AB169" s="47">
        <f t="shared" si="23"/>
        <v>22.471723739684073</v>
      </c>
      <c r="AC169" s="47">
        <f t="shared" si="23"/>
        <v>23.851282441015176</v>
      </c>
      <c r="AD169" s="47">
        <f t="shared" si="23"/>
        <v>25.230841142346279</v>
      </c>
      <c r="AE169" s="47">
        <f t="shared" si="23"/>
        <v>26.610399843677385</v>
      </c>
      <c r="AH169">
        <f t="shared" si="21"/>
        <v>1.2104194290902699</v>
      </c>
      <c r="AI169">
        <f t="shared" si="22"/>
        <v>1.1696422136729951</v>
      </c>
      <c r="AJ169" s="34">
        <v>0.88694100486719707</v>
      </c>
      <c r="AK169" s="34">
        <v>0.87892750905584505</v>
      </c>
    </row>
    <row r="170" spans="19:37" x14ac:dyDescent="0.25">
      <c r="S170" s="47">
        <f t="shared" si="19"/>
        <v>24.324988413050164</v>
      </c>
      <c r="T170" s="47">
        <f t="shared" si="20"/>
        <v>6.8657703252571531</v>
      </c>
      <c r="U170" s="47"/>
      <c r="V170" s="47"/>
      <c r="W170" s="47">
        <f t="shared" si="24"/>
        <v>8.6116921340364545</v>
      </c>
      <c r="X170" s="47">
        <f t="shared" si="23"/>
        <v>10.357613942815757</v>
      </c>
      <c r="Y170" s="47">
        <f t="shared" si="23"/>
        <v>12.103535751595057</v>
      </c>
      <c r="Z170" s="47">
        <f t="shared" si="23"/>
        <v>13.849457560374358</v>
      </c>
      <c r="AA170" s="47">
        <f t="shared" si="23"/>
        <v>15.595379369153658</v>
      </c>
      <c r="AB170" s="47">
        <f t="shared" si="23"/>
        <v>17.341301177932959</v>
      </c>
      <c r="AC170" s="47">
        <f t="shared" si="23"/>
        <v>19.087222986712259</v>
      </c>
      <c r="AD170" s="47">
        <f t="shared" si="23"/>
        <v>20.83314479549156</v>
      </c>
      <c r="AE170" s="47">
        <f t="shared" si="23"/>
        <v>22.57906660427086</v>
      </c>
      <c r="AH170">
        <f t="shared" si="21"/>
        <v>0.96866678186346733</v>
      </c>
      <c r="AI170">
        <f t="shared" si="22"/>
        <v>-0.19002405839384903</v>
      </c>
      <c r="AJ170" s="34">
        <v>0.8336442642634474</v>
      </c>
      <c r="AK170" s="34">
        <v>0.42464513906438239</v>
      </c>
    </row>
    <row r="171" spans="19:37" x14ac:dyDescent="0.25">
      <c r="S171" s="47">
        <f t="shared" si="19"/>
        <v>23.269929658637878</v>
      </c>
      <c r="T171" s="47">
        <f t="shared" si="20"/>
        <v>10.303096600906073</v>
      </c>
      <c r="U171" s="47"/>
      <c r="V171" s="47"/>
      <c r="W171" s="47">
        <f t="shared" si="24"/>
        <v>11.599779906679254</v>
      </c>
      <c r="X171" s="47">
        <f t="shared" si="23"/>
        <v>12.896463212452435</v>
      </c>
      <c r="Y171" s="47">
        <f t="shared" si="23"/>
        <v>14.193146518225614</v>
      </c>
      <c r="Z171" s="47">
        <f t="shared" si="23"/>
        <v>15.489829823998795</v>
      </c>
      <c r="AA171" s="47">
        <f t="shared" si="23"/>
        <v>16.786513129771976</v>
      </c>
      <c r="AB171" s="47">
        <f t="shared" si="23"/>
        <v>18.083196435545155</v>
      </c>
      <c r="AC171" s="47">
        <f t="shared" si="23"/>
        <v>19.379879741318337</v>
      </c>
      <c r="AD171" s="47">
        <f t="shared" si="23"/>
        <v>20.676563047091516</v>
      </c>
      <c r="AE171" s="47">
        <f t="shared" si="23"/>
        <v>21.973246352864695</v>
      </c>
      <c r="AH171">
        <f t="shared" si="21"/>
        <v>0.89907187721885717</v>
      </c>
      <c r="AI171">
        <f t="shared" si="22"/>
        <v>0.44769881278405821</v>
      </c>
      <c r="AJ171" s="34">
        <v>0.81569281173378649</v>
      </c>
      <c r="AK171" s="34">
        <v>0.67281471069920173</v>
      </c>
    </row>
    <row r="172" spans="19:37" x14ac:dyDescent="0.25">
      <c r="S172" s="47">
        <f t="shared" si="19"/>
        <v>18.036969652687269</v>
      </c>
      <c r="T172" s="47">
        <f t="shared" si="20"/>
        <v>5.4306047236156498</v>
      </c>
      <c r="U172" s="47"/>
      <c r="V172" s="47"/>
      <c r="W172" s="47">
        <f t="shared" si="24"/>
        <v>6.6912412165228119</v>
      </c>
      <c r="X172" s="47">
        <f t="shared" si="23"/>
        <v>7.951877709429974</v>
      </c>
      <c r="Y172" s="47">
        <f t="shared" si="23"/>
        <v>9.212514202337136</v>
      </c>
      <c r="Z172" s="47">
        <f t="shared" si="23"/>
        <v>10.473150695244298</v>
      </c>
      <c r="AA172" s="47">
        <f t="shared" si="23"/>
        <v>11.73378718815146</v>
      </c>
      <c r="AB172" s="47">
        <f t="shared" si="23"/>
        <v>12.99442368105862</v>
      </c>
      <c r="AC172" s="47">
        <f t="shared" si="23"/>
        <v>14.255060173965783</v>
      </c>
      <c r="AD172" s="47">
        <f t="shared" si="23"/>
        <v>15.515696666872945</v>
      </c>
      <c r="AE172" s="47">
        <f t="shared" si="23"/>
        <v>16.776333159780108</v>
      </c>
      <c r="AH172">
        <f t="shared" si="21"/>
        <v>0.55388981877884358</v>
      </c>
      <c r="AI172">
        <f t="shared" si="22"/>
        <v>-0.45628854849431361</v>
      </c>
      <c r="AJ172" s="34">
        <v>0.71017287334871182</v>
      </c>
      <c r="AK172" s="34">
        <v>0.32409124879041518</v>
      </c>
    </row>
    <row r="173" spans="19:37" x14ac:dyDescent="0.25">
      <c r="S173" s="47">
        <f t="shared" si="19"/>
        <v>0.32476767969810361</v>
      </c>
      <c r="T173" s="47">
        <f t="shared" si="20"/>
        <v>7.583299833709491</v>
      </c>
      <c r="U173" s="47"/>
      <c r="V173" s="47"/>
      <c r="W173" s="47">
        <f t="shared" si="24"/>
        <v>6.8574466183083524</v>
      </c>
      <c r="X173" s="47">
        <f t="shared" si="23"/>
        <v>6.1315934029072139</v>
      </c>
      <c r="Y173" s="47">
        <f t="shared" si="23"/>
        <v>5.4057401875060744</v>
      </c>
      <c r="Z173" s="47">
        <f t="shared" si="23"/>
        <v>4.6798869721049359</v>
      </c>
      <c r="AA173" s="47">
        <f t="shared" si="23"/>
        <v>3.9540337567037973</v>
      </c>
      <c r="AB173" s="47">
        <f t="shared" si="23"/>
        <v>3.2281805413026587</v>
      </c>
      <c r="AC173" s="47">
        <f t="shared" si="23"/>
        <v>2.5023273259015202</v>
      </c>
      <c r="AD173" s="47">
        <f t="shared" si="23"/>
        <v>1.7764741105003816</v>
      </c>
      <c r="AE173" s="47">
        <f t="shared" si="23"/>
        <v>1.0506208950992431</v>
      </c>
      <c r="AH173">
        <f t="shared" si="21"/>
        <v>-0.61446123484841009</v>
      </c>
      <c r="AI173">
        <f t="shared" si="22"/>
        <v>-5.690170061048401E-2</v>
      </c>
      <c r="AJ173" s="34">
        <v>0.26945529095008647</v>
      </c>
      <c r="AK173" s="34">
        <v>0.47731174980930147</v>
      </c>
    </row>
    <row r="174" spans="19:37" x14ac:dyDescent="0.25">
      <c r="S174" s="47">
        <f t="shared" si="19"/>
        <v>19.205248563049231</v>
      </c>
      <c r="T174" s="47">
        <f t="shared" si="20"/>
        <v>2.0069709715324286</v>
      </c>
      <c r="U174" s="47"/>
      <c r="V174" s="47"/>
      <c r="W174" s="47">
        <f t="shared" si="24"/>
        <v>3.7267987306841093</v>
      </c>
      <c r="X174" s="47">
        <f t="shared" si="23"/>
        <v>5.4466264898357899</v>
      </c>
      <c r="Y174" s="47">
        <f t="shared" si="23"/>
        <v>7.1664542489874696</v>
      </c>
      <c r="Z174" s="47">
        <f t="shared" si="23"/>
        <v>8.8862820081391511</v>
      </c>
      <c r="AA174" s="47">
        <f t="shared" si="23"/>
        <v>10.60610976729083</v>
      </c>
      <c r="AB174" s="47">
        <f t="shared" si="23"/>
        <v>12.325937526442509</v>
      </c>
      <c r="AC174" s="47">
        <f t="shared" si="23"/>
        <v>14.045765285594189</v>
      </c>
      <c r="AD174" s="47">
        <f t="shared" si="23"/>
        <v>15.765593044745868</v>
      </c>
      <c r="AE174" s="47">
        <f t="shared" si="23"/>
        <v>17.485420803897547</v>
      </c>
      <c r="AH174">
        <f t="shared" si="21"/>
        <v>0.63095307144124213</v>
      </c>
      <c r="AI174">
        <f t="shared" si="22"/>
        <v>-1.0914710627954678</v>
      </c>
      <c r="AJ174" s="34">
        <v>0.73596439535161406</v>
      </c>
      <c r="AK174" s="34">
        <v>0.13753282906386877</v>
      </c>
    </row>
    <row r="175" spans="19:37" x14ac:dyDescent="0.25">
      <c r="S175" s="47">
        <f t="shared" si="19"/>
        <v>29.162907323008788</v>
      </c>
      <c r="T175" s="47">
        <f t="shared" si="20"/>
        <v>2.5796776929908827</v>
      </c>
      <c r="U175" s="47"/>
      <c r="V175" s="47"/>
      <c r="W175" s="47">
        <f t="shared" si="24"/>
        <v>5.2380006559926731</v>
      </c>
      <c r="X175" s="47">
        <f t="shared" si="23"/>
        <v>7.8963236189944643</v>
      </c>
      <c r="Y175" s="47">
        <f t="shared" si="23"/>
        <v>10.554646581996256</v>
      </c>
      <c r="Z175" s="47">
        <f t="shared" si="23"/>
        <v>13.212969544998046</v>
      </c>
      <c r="AA175" s="47">
        <f t="shared" si="23"/>
        <v>15.871292507999836</v>
      </c>
      <c r="AB175" s="47">
        <f t="shared" si="23"/>
        <v>18.529615471001627</v>
      </c>
      <c r="AC175" s="47">
        <f t="shared" si="23"/>
        <v>21.187938434003414</v>
      </c>
      <c r="AD175" s="47">
        <f t="shared" si="23"/>
        <v>23.846261397005208</v>
      </c>
      <c r="AE175" s="47">
        <f t="shared" si="23"/>
        <v>26.504584360006994</v>
      </c>
      <c r="AH175">
        <f t="shared" si="21"/>
        <v>1.2877907205150916</v>
      </c>
      <c r="AI175">
        <f t="shared" si="22"/>
        <v>-0.98521749666217395</v>
      </c>
      <c r="AJ175" s="34">
        <v>0.90109058832750233</v>
      </c>
      <c r="AK175" s="34">
        <v>0.1622586240209315</v>
      </c>
    </row>
    <row r="176" spans="19:37" x14ac:dyDescent="0.25">
      <c r="S176" s="47">
        <f t="shared" si="19"/>
        <v>33.560310639640477</v>
      </c>
      <c r="T176" s="47">
        <f t="shared" si="20"/>
        <v>8.4472026367572894E-2</v>
      </c>
      <c r="U176" s="47"/>
      <c r="V176" s="47"/>
      <c r="W176" s="47">
        <f t="shared" si="24"/>
        <v>3.4320558876948635</v>
      </c>
      <c r="X176" s="47">
        <f t="shared" si="23"/>
        <v>6.779639749022154</v>
      </c>
      <c r="Y176" s="47">
        <f t="shared" si="23"/>
        <v>10.127223610349445</v>
      </c>
      <c r="Z176" s="47">
        <f t="shared" si="23"/>
        <v>13.474807471676735</v>
      </c>
      <c r="AA176" s="47">
        <f t="shared" si="23"/>
        <v>16.822391333004024</v>
      </c>
      <c r="AB176" s="47">
        <f t="shared" si="23"/>
        <v>20.169975194331315</v>
      </c>
      <c r="AC176" s="47">
        <f t="shared" si="23"/>
        <v>23.517559055658602</v>
      </c>
      <c r="AD176" s="47">
        <f t="shared" si="23"/>
        <v>26.865142916985896</v>
      </c>
      <c r="AE176" s="47">
        <f t="shared" si="23"/>
        <v>30.212726778313183</v>
      </c>
      <c r="AH176">
        <f t="shared" si="21"/>
        <v>1.5778569023509552</v>
      </c>
      <c r="AI176">
        <f t="shared" si="22"/>
        <v>-1.4481499023436786</v>
      </c>
      <c r="AJ176" s="34">
        <v>0.94270075604774584</v>
      </c>
      <c r="AK176" s="34">
        <v>7.3787565943338018E-2</v>
      </c>
    </row>
    <row r="177" spans="19:37" x14ac:dyDescent="0.25">
      <c r="S177" s="47">
        <f t="shared" si="19"/>
        <v>5.694075327591821</v>
      </c>
      <c r="T177" s="47">
        <f t="shared" si="20"/>
        <v>4.8534770888334489</v>
      </c>
      <c r="U177" s="47"/>
      <c r="V177" s="47"/>
      <c r="W177" s="47">
        <f t="shared" si="24"/>
        <v>4.9375369127092856</v>
      </c>
      <c r="X177" s="47">
        <f t="shared" si="23"/>
        <v>5.0215967365851233</v>
      </c>
      <c r="Y177" s="47">
        <f t="shared" si="23"/>
        <v>5.1056565604609609</v>
      </c>
      <c r="Z177" s="47">
        <f t="shared" si="23"/>
        <v>5.1897163843367977</v>
      </c>
      <c r="AA177" s="47">
        <f t="shared" si="23"/>
        <v>5.2737762082126345</v>
      </c>
      <c r="AB177" s="47">
        <f t="shared" si="23"/>
        <v>5.3578360320884721</v>
      </c>
      <c r="AC177" s="47">
        <f t="shared" si="23"/>
        <v>5.4418958559643089</v>
      </c>
      <c r="AD177" s="47">
        <f t="shared" si="23"/>
        <v>5.5259556798401466</v>
      </c>
      <c r="AE177" s="47">
        <f t="shared" si="23"/>
        <v>5.6100155037159833</v>
      </c>
      <c r="AH177">
        <f t="shared" si="21"/>
        <v>-0.26028526862850787</v>
      </c>
      <c r="AI177">
        <f t="shared" si="22"/>
        <v>-0.56336232118117835</v>
      </c>
      <c r="AJ177" s="34">
        <v>0.39732186751407106</v>
      </c>
      <c r="AK177" s="34">
        <v>0.28659409441627526</v>
      </c>
    </row>
    <row r="178" spans="19:37" x14ac:dyDescent="0.25">
      <c r="S178" s="47">
        <f t="shared" si="19"/>
        <v>28.828231797177654</v>
      </c>
      <c r="T178" s="47">
        <f t="shared" si="20"/>
        <v>8.8118258180199884</v>
      </c>
      <c r="U178" s="47"/>
      <c r="V178" s="47"/>
      <c r="W178" s="47">
        <f t="shared" si="24"/>
        <v>10.813466415935755</v>
      </c>
      <c r="X178" s="47">
        <f t="shared" si="23"/>
        <v>12.815107013851524</v>
      </c>
      <c r="Y178" s="47">
        <f t="shared" si="23"/>
        <v>14.81674761176729</v>
      </c>
      <c r="Z178" s="47">
        <f t="shared" si="23"/>
        <v>16.818388209683057</v>
      </c>
      <c r="AA178" s="47">
        <f t="shared" si="23"/>
        <v>18.82002880759882</v>
      </c>
      <c r="AB178" s="47">
        <f t="shared" si="23"/>
        <v>20.821669405514591</v>
      </c>
      <c r="AC178" s="47">
        <f t="shared" si="23"/>
        <v>22.823310003430354</v>
      </c>
      <c r="AD178" s="47">
        <f t="shared" si="23"/>
        <v>24.824950601346121</v>
      </c>
      <c r="AE178" s="47">
        <f t="shared" si="23"/>
        <v>26.826591199261888</v>
      </c>
      <c r="AH178">
        <f t="shared" si="21"/>
        <v>1.2657144984945681</v>
      </c>
      <c r="AI178">
        <f t="shared" si="22"/>
        <v>0.17102519814842101</v>
      </c>
      <c r="AJ178" s="34">
        <v>0.89719234216115251</v>
      </c>
      <c r="AK178" s="34">
        <v>0.56789802388292998</v>
      </c>
    </row>
    <row r="179" spans="19:37" x14ac:dyDescent="0.25">
      <c r="S179" s="47">
        <f t="shared" si="19"/>
        <v>18.980054616432334</v>
      </c>
      <c r="T179" s="47">
        <f t="shared" si="20"/>
        <v>-1.2670241610424631</v>
      </c>
      <c r="U179" s="47"/>
      <c r="V179" s="47"/>
      <c r="W179" s="47">
        <f t="shared" si="24"/>
        <v>0.75768371670501655</v>
      </c>
      <c r="X179" s="47">
        <f t="shared" si="23"/>
        <v>2.7823915944524962</v>
      </c>
      <c r="Y179" s="47">
        <f t="shared" si="23"/>
        <v>4.8070994721999769</v>
      </c>
      <c r="Z179" s="47">
        <f t="shared" si="23"/>
        <v>6.8318073499474554</v>
      </c>
      <c r="AA179" s="47">
        <f t="shared" si="23"/>
        <v>8.8565152276949348</v>
      </c>
      <c r="AB179" s="47">
        <f t="shared" si="23"/>
        <v>10.881223105442414</v>
      </c>
      <c r="AC179" s="47">
        <f t="shared" si="23"/>
        <v>12.905930983189895</v>
      </c>
      <c r="AD179" s="47">
        <f t="shared" si="23"/>
        <v>14.930638860937373</v>
      </c>
      <c r="AE179" s="47">
        <f t="shared" si="23"/>
        <v>16.955346738684852</v>
      </c>
      <c r="AH179">
        <f t="shared" si="21"/>
        <v>0.61609858947442842</v>
      </c>
      <c r="AI179">
        <f t="shared" si="22"/>
        <v>-1.6988913100264311</v>
      </c>
      <c r="AJ179" s="34">
        <v>0.73108527351417041</v>
      </c>
      <c r="AK179" s="34">
        <v>4.4669832331860504E-2</v>
      </c>
    </row>
    <row r="180" spans="19:37" x14ac:dyDescent="0.25">
      <c r="S180" s="47">
        <f t="shared" si="19"/>
        <v>-8.0798621404897588</v>
      </c>
      <c r="T180" s="47">
        <f t="shared" si="20"/>
        <v>16.12896835910681</v>
      </c>
      <c r="U180" s="47"/>
      <c r="V180" s="47"/>
      <c r="W180" s="47">
        <f t="shared" si="24"/>
        <v>13.708085309147155</v>
      </c>
      <c r="X180" s="47">
        <f t="shared" si="23"/>
        <v>11.287202259187499</v>
      </c>
      <c r="Y180" s="47">
        <f t="shared" si="23"/>
        <v>8.8663192092278376</v>
      </c>
      <c r="Z180" s="47">
        <f t="shared" si="23"/>
        <v>6.4454361592681817</v>
      </c>
      <c r="AA180" s="47">
        <f t="shared" si="23"/>
        <v>4.0245531093085258</v>
      </c>
      <c r="AB180" s="47">
        <f t="shared" si="23"/>
        <v>1.60367005934887</v>
      </c>
      <c r="AC180" s="47">
        <f t="shared" si="23"/>
        <v>-0.81721299061078678</v>
      </c>
      <c r="AD180" s="47">
        <f t="shared" si="23"/>
        <v>-3.2380960405704435</v>
      </c>
      <c r="AE180" s="47">
        <f t="shared" si="23"/>
        <v>-5.6589790905300994</v>
      </c>
      <c r="AH180">
        <f t="shared" si="21"/>
        <v>-1.1688563417209603</v>
      </c>
      <c r="AI180">
        <f t="shared" si="22"/>
        <v>1.5285655582758464</v>
      </c>
      <c r="AJ180" s="34">
        <v>0.12123075793269489</v>
      </c>
      <c r="AK180" s="34">
        <v>0.93681391013248505</v>
      </c>
    </row>
    <row r="181" spans="19:37" x14ac:dyDescent="0.25">
      <c r="S181" s="47">
        <f t="shared" si="19"/>
        <v>-7.1394058959818132</v>
      </c>
      <c r="T181" s="47">
        <f t="shared" si="20"/>
        <v>9.2454488270495716</v>
      </c>
      <c r="U181" s="47"/>
      <c r="V181" s="47"/>
      <c r="W181" s="47">
        <f t="shared" si="24"/>
        <v>7.6069633547464335</v>
      </c>
      <c r="X181" s="47">
        <f t="shared" si="23"/>
        <v>5.9684778824432945</v>
      </c>
      <c r="Y181" s="47">
        <f t="shared" si="23"/>
        <v>4.3299924101401555</v>
      </c>
      <c r="Z181" s="47">
        <f t="shared" si="23"/>
        <v>2.6915069378370173</v>
      </c>
      <c r="AA181" s="47">
        <f t="shared" si="23"/>
        <v>1.0530214655338792</v>
      </c>
      <c r="AB181" s="47">
        <f t="shared" si="23"/>
        <v>-0.58546400676925892</v>
      </c>
      <c r="AC181" s="47">
        <f t="shared" si="23"/>
        <v>-2.2239494790723966</v>
      </c>
      <c r="AD181" s="47">
        <f t="shared" si="23"/>
        <v>-3.8624349513755352</v>
      </c>
      <c r="AE181" s="47">
        <f t="shared" si="23"/>
        <v>-5.5009204236786733</v>
      </c>
      <c r="AH181">
        <f t="shared" si="21"/>
        <v>-1.1068209693919402</v>
      </c>
      <c r="AI181">
        <f t="shared" si="22"/>
        <v>0.25147473600177572</v>
      </c>
      <c r="AJ181" s="34">
        <v>0.13418567009612092</v>
      </c>
      <c r="AK181" s="34">
        <v>0.59927645376382699</v>
      </c>
    </row>
    <row r="182" spans="19:37" x14ac:dyDescent="0.25">
      <c r="S182" s="47">
        <f t="shared" si="19"/>
        <v>13.838237366148253</v>
      </c>
      <c r="T182" s="47">
        <f t="shared" si="20"/>
        <v>4.6151047449563007</v>
      </c>
      <c r="U182" s="47"/>
      <c r="V182" s="47"/>
      <c r="W182" s="47">
        <f t="shared" si="24"/>
        <v>5.5374180070754964</v>
      </c>
      <c r="X182" s="47">
        <f t="shared" si="23"/>
        <v>6.4597312691946911</v>
      </c>
      <c r="Y182" s="47">
        <f t="shared" si="23"/>
        <v>7.3820445313138858</v>
      </c>
      <c r="Z182" s="47">
        <f t="shared" si="23"/>
        <v>8.3043577934330823</v>
      </c>
      <c r="AA182" s="47">
        <f t="shared" si="23"/>
        <v>9.2266710555522771</v>
      </c>
      <c r="AB182" s="47">
        <f t="shared" si="23"/>
        <v>10.148984317671472</v>
      </c>
      <c r="AC182" s="47">
        <f t="shared" si="23"/>
        <v>11.071297579790667</v>
      </c>
      <c r="AD182" s="47">
        <f t="shared" si="23"/>
        <v>11.993610841909861</v>
      </c>
      <c r="AE182" s="47">
        <f t="shared" si="23"/>
        <v>12.915924104029058</v>
      </c>
      <c r="AH182">
        <f t="shared" si="21"/>
        <v>0.27692858615753635</v>
      </c>
      <c r="AI182">
        <f t="shared" si="22"/>
        <v>-0.60758724583371038</v>
      </c>
      <c r="AJ182" s="34">
        <v>0.60908252895896087</v>
      </c>
      <c r="AK182" s="34">
        <v>0.27173063097383821</v>
      </c>
    </row>
    <row r="183" spans="19:37" x14ac:dyDescent="0.25">
      <c r="S183" s="47">
        <f t="shared" si="19"/>
        <v>18.907099570551729</v>
      </c>
      <c r="T183" s="47">
        <f t="shared" si="20"/>
        <v>7.1551606174593552E-2</v>
      </c>
      <c r="U183" s="47"/>
      <c r="V183" s="47"/>
      <c r="W183" s="47">
        <f t="shared" si="24"/>
        <v>1.9551064026123073</v>
      </c>
      <c r="X183" s="47">
        <f t="shared" si="23"/>
        <v>3.838661199050021</v>
      </c>
      <c r="Y183" s="47">
        <f t="shared" si="23"/>
        <v>5.7222159954877352</v>
      </c>
      <c r="Z183" s="47">
        <f t="shared" si="23"/>
        <v>7.6057707919254485</v>
      </c>
      <c r="AA183" s="47">
        <f t="shared" si="23"/>
        <v>9.4893255883631618</v>
      </c>
      <c r="AB183" s="47">
        <f t="shared" si="23"/>
        <v>11.372880384800874</v>
      </c>
      <c r="AC183" s="47">
        <f t="shared" si="23"/>
        <v>13.256435181238587</v>
      </c>
      <c r="AD183" s="47">
        <f t="shared" si="23"/>
        <v>15.139989977676301</v>
      </c>
      <c r="AE183" s="47">
        <f t="shared" si="23"/>
        <v>17.023544774114011</v>
      </c>
      <c r="AH183">
        <f t="shared" si="21"/>
        <v>0.61128625135565506</v>
      </c>
      <c r="AI183">
        <f t="shared" si="22"/>
        <v>-1.4505470118414483</v>
      </c>
      <c r="AJ183" s="34">
        <v>0.7294949543421263</v>
      </c>
      <c r="AK183" s="34">
        <v>7.3453019682046539E-2</v>
      </c>
    </row>
    <row r="184" spans="19:37" x14ac:dyDescent="0.25">
      <c r="S184" s="47">
        <f t="shared" si="19"/>
        <v>20.641924058869694</v>
      </c>
      <c r="T184" s="47">
        <f t="shared" si="20"/>
        <v>-1.5926161951804909</v>
      </c>
      <c r="U184" s="47"/>
      <c r="V184" s="47"/>
      <c r="W184" s="47">
        <f t="shared" si="24"/>
        <v>0.63083783022452766</v>
      </c>
      <c r="X184" s="47">
        <f t="shared" si="23"/>
        <v>2.8542918556295467</v>
      </c>
      <c r="Y184" s="47">
        <f t="shared" si="23"/>
        <v>5.0777458810345655</v>
      </c>
      <c r="Z184" s="47">
        <f t="shared" si="23"/>
        <v>7.3011999064395843</v>
      </c>
      <c r="AA184" s="47">
        <f t="shared" si="23"/>
        <v>9.5246539318446022</v>
      </c>
      <c r="AB184" s="47">
        <f t="shared" si="23"/>
        <v>11.748107957249619</v>
      </c>
      <c r="AC184" s="47">
        <f t="shared" si="23"/>
        <v>13.971561982654638</v>
      </c>
      <c r="AD184" s="47">
        <f t="shared" si="23"/>
        <v>16.195016008059657</v>
      </c>
      <c r="AE184" s="47">
        <f t="shared" si="23"/>
        <v>18.418470033464676</v>
      </c>
      <c r="AH184">
        <f t="shared" si="21"/>
        <v>0.72572058435815923</v>
      </c>
      <c r="AI184">
        <f t="shared" si="22"/>
        <v>-1.7592979953952672</v>
      </c>
      <c r="AJ184" s="34">
        <v>0.76599495991950339</v>
      </c>
      <c r="AK184" s="34">
        <v>3.9263453458983522E-2</v>
      </c>
    </row>
    <row r="185" spans="19:37" x14ac:dyDescent="0.25">
      <c r="S185" s="47">
        <f t="shared" si="19"/>
        <v>-15.05583046794516</v>
      </c>
      <c r="T185" s="47">
        <f t="shared" si="20"/>
        <v>17.669664124655839</v>
      </c>
      <c r="U185" s="47"/>
      <c r="V185" s="47"/>
      <c r="W185" s="47">
        <f t="shared" si="24"/>
        <v>14.397114665395739</v>
      </c>
      <c r="X185" s="47">
        <f t="shared" si="23"/>
        <v>11.124565206135639</v>
      </c>
      <c r="Y185" s="47">
        <f t="shared" si="23"/>
        <v>7.8520157468755372</v>
      </c>
      <c r="Z185" s="47">
        <f t="shared" si="23"/>
        <v>4.5794662876154382</v>
      </c>
      <c r="AA185" s="47">
        <f t="shared" si="23"/>
        <v>1.3069168283553392</v>
      </c>
      <c r="AB185" s="47">
        <f t="shared" si="23"/>
        <v>-1.9656326309047607</v>
      </c>
      <c r="AC185" s="47">
        <f t="shared" si="23"/>
        <v>-5.2381820901648588</v>
      </c>
      <c r="AD185" s="47">
        <f t="shared" si="23"/>
        <v>-8.5107315494249587</v>
      </c>
      <c r="AE185" s="47">
        <f t="shared" si="23"/>
        <v>-11.783281008685057</v>
      </c>
      <c r="AH185">
        <f t="shared" si="21"/>
        <v>-1.6290125638486253</v>
      </c>
      <c r="AI185">
        <f t="shared" si="22"/>
        <v>1.8144089285075766</v>
      </c>
      <c r="AJ185" s="34">
        <v>5.1655179640912818E-2</v>
      </c>
      <c r="AK185" s="34">
        <v>0.96519260391369321</v>
      </c>
    </row>
    <row r="186" spans="19:37" x14ac:dyDescent="0.25">
      <c r="S186" s="47">
        <f t="shared" si="19"/>
        <v>-28.480838954049368</v>
      </c>
      <c r="T186" s="47">
        <f t="shared" si="20"/>
        <v>7.1501090533000777</v>
      </c>
      <c r="U186" s="47"/>
      <c r="V186" s="47"/>
      <c r="W186" s="47">
        <f t="shared" si="24"/>
        <v>3.5870142525651332</v>
      </c>
      <c r="X186" s="47">
        <f t="shared" si="23"/>
        <v>2.3919451830188621E-2</v>
      </c>
      <c r="Y186" s="47">
        <f t="shared" si="23"/>
        <v>-3.5391753489047577</v>
      </c>
      <c r="Z186" s="47">
        <f t="shared" si="23"/>
        <v>-7.1022701496397005</v>
      </c>
      <c r="AA186" s="47">
        <f t="shared" si="23"/>
        <v>-10.665364950374645</v>
      </c>
      <c r="AB186" s="47">
        <f t="shared" si="23"/>
        <v>-14.22845975110959</v>
      </c>
      <c r="AC186" s="47">
        <f t="shared" si="23"/>
        <v>-17.791554551844534</v>
      </c>
      <c r="AD186" s="47">
        <f t="shared" si="23"/>
        <v>-21.354649352579475</v>
      </c>
      <c r="AE186" s="47">
        <f t="shared" si="23"/>
        <v>-24.91774415331442</v>
      </c>
      <c r="AH186">
        <f t="shared" si="21"/>
        <v>-2.5145672133277945</v>
      </c>
      <c r="AI186">
        <f t="shared" si="22"/>
        <v>-0.1372710476252175</v>
      </c>
      <c r="AJ186" s="34">
        <v>5.9589291520465437E-3</v>
      </c>
      <c r="AK186" s="34">
        <v>0.44540827720967635</v>
      </c>
    </row>
    <row r="187" spans="19:37" x14ac:dyDescent="0.25">
      <c r="S187" s="47">
        <f t="shared" si="19"/>
        <v>-9.1979087384515452</v>
      </c>
      <c r="T187" s="47">
        <f t="shared" si="20"/>
        <v>8.1217403570260327</v>
      </c>
      <c r="U187" s="47"/>
      <c r="V187" s="47"/>
      <c r="W187" s="47">
        <f t="shared" si="24"/>
        <v>6.3897754474782751</v>
      </c>
      <c r="X187" s="47">
        <f t="shared" si="23"/>
        <v>4.6578105379305175</v>
      </c>
      <c r="Y187" s="47">
        <f t="shared" si="23"/>
        <v>2.925845628382759</v>
      </c>
      <c r="Z187" s="47">
        <f t="shared" si="23"/>
        <v>1.1938807188350014</v>
      </c>
      <c r="AA187" s="47">
        <f t="shared" si="23"/>
        <v>-0.53808419071275626</v>
      </c>
      <c r="AB187" s="47">
        <f t="shared" si="23"/>
        <v>-2.2700491002605139</v>
      </c>
      <c r="AC187" s="47">
        <f t="shared" si="23"/>
        <v>-4.0020140098082706</v>
      </c>
      <c r="AD187" s="47">
        <f t="shared" si="23"/>
        <v>-5.7339789193560282</v>
      </c>
      <c r="AE187" s="47">
        <f t="shared" si="23"/>
        <v>-7.4659438289037858</v>
      </c>
      <c r="AH187">
        <f t="shared" si="21"/>
        <v>-1.2426061173121072</v>
      </c>
      <c r="AI187">
        <f t="shared" si="22"/>
        <v>4.2994500375887514E-2</v>
      </c>
      <c r="AJ187" s="34">
        <v>0.10700650729186434</v>
      </c>
      <c r="AK187" s="34">
        <v>0.51714704106708986</v>
      </c>
    </row>
    <row r="188" spans="19:37" x14ac:dyDescent="0.25">
      <c r="S188" s="47">
        <f t="shared" si="19"/>
        <v>31.522333412683817</v>
      </c>
      <c r="T188" s="47">
        <f t="shared" si="20"/>
        <v>9.3254218317403836</v>
      </c>
      <c r="U188" s="47"/>
      <c r="V188" s="47"/>
      <c r="W188" s="47">
        <f t="shared" si="24"/>
        <v>11.545112989834728</v>
      </c>
      <c r="X188" s="47">
        <f t="shared" si="23"/>
        <v>13.76480414792907</v>
      </c>
      <c r="Y188" s="47">
        <f t="shared" si="23"/>
        <v>15.984495306023415</v>
      </c>
      <c r="Z188" s="47">
        <f t="shared" si="23"/>
        <v>18.204186464117758</v>
      </c>
      <c r="AA188" s="47">
        <f t="shared" si="23"/>
        <v>20.4238776222121</v>
      </c>
      <c r="AB188" s="47">
        <f t="shared" si="23"/>
        <v>22.643568780306442</v>
      </c>
      <c r="AC188" s="47">
        <f t="shared" si="23"/>
        <v>24.863259938400784</v>
      </c>
      <c r="AD188" s="47">
        <f t="shared" si="23"/>
        <v>27.08295109649513</v>
      </c>
      <c r="AE188" s="47">
        <f t="shared" si="23"/>
        <v>29.302642254589472</v>
      </c>
      <c r="AH188">
        <f t="shared" si="21"/>
        <v>1.4434256868524946</v>
      </c>
      <c r="AI188">
        <f t="shared" si="22"/>
        <v>0.26631202815220473</v>
      </c>
      <c r="AJ188" s="34">
        <v>0.92554970377016521</v>
      </c>
      <c r="AK188" s="34">
        <v>0.6050005448163388</v>
      </c>
    </row>
    <row r="189" spans="19:37" x14ac:dyDescent="0.25">
      <c r="S189" s="47">
        <f t="shared" si="19"/>
        <v>31.261893919724972</v>
      </c>
      <c r="T189" s="47">
        <f t="shared" si="20"/>
        <v>8.7608383730356589</v>
      </c>
      <c r="U189" s="47"/>
      <c r="V189" s="47"/>
      <c r="W189" s="47">
        <f t="shared" si="24"/>
        <v>11.010943927704592</v>
      </c>
      <c r="X189" s="47">
        <f t="shared" si="23"/>
        <v>13.261049482373522</v>
      </c>
      <c r="Y189" s="47">
        <f t="shared" si="23"/>
        <v>15.511155037042453</v>
      </c>
      <c r="Z189" s="47">
        <f t="shared" si="23"/>
        <v>17.761260591711384</v>
      </c>
      <c r="AA189" s="47">
        <f t="shared" si="23"/>
        <v>20.011366146380315</v>
      </c>
      <c r="AB189" s="47">
        <f t="shared" si="23"/>
        <v>22.261471701049246</v>
      </c>
      <c r="AC189" s="47">
        <f t="shared" si="23"/>
        <v>24.511577255718176</v>
      </c>
      <c r="AD189" s="47">
        <f t="shared" si="23"/>
        <v>26.761682810387107</v>
      </c>
      <c r="AE189" s="47">
        <f t="shared" si="23"/>
        <v>29.011788365056042</v>
      </c>
      <c r="AH189">
        <f t="shared" si="21"/>
        <v>1.426246300773415</v>
      </c>
      <c r="AI189">
        <f t="shared" si="22"/>
        <v>0.16156556086004797</v>
      </c>
      <c r="AJ189" s="34">
        <v>0.92310137048117868</v>
      </c>
      <c r="AK189" s="34">
        <v>0.56417601030781828</v>
      </c>
    </row>
    <row r="190" spans="19:37" x14ac:dyDescent="0.25">
      <c r="S190" s="47">
        <f t="shared" si="19"/>
        <v>16.235516047111052</v>
      </c>
      <c r="T190" s="47">
        <f t="shared" si="20"/>
        <v>7.1268176583210314</v>
      </c>
      <c r="U190" s="47"/>
      <c r="V190" s="47"/>
      <c r="W190" s="47">
        <f t="shared" si="24"/>
        <v>8.0376874972000323</v>
      </c>
      <c r="X190" s="47">
        <f t="shared" si="23"/>
        <v>8.9485573360790358</v>
      </c>
      <c r="Y190" s="47">
        <f t="shared" si="23"/>
        <v>9.8594271749580393</v>
      </c>
      <c r="Z190" s="47">
        <f t="shared" si="23"/>
        <v>10.770297013837039</v>
      </c>
      <c r="AA190" s="47">
        <f t="shared" si="23"/>
        <v>11.681166852716041</v>
      </c>
      <c r="AB190" s="47">
        <f t="shared" si="23"/>
        <v>12.592036691595045</v>
      </c>
      <c r="AC190" s="47">
        <f t="shared" si="23"/>
        <v>13.502906530474046</v>
      </c>
      <c r="AD190" s="47">
        <f t="shared" si="23"/>
        <v>14.413776369353046</v>
      </c>
      <c r="AE190" s="47">
        <f t="shared" si="23"/>
        <v>15.324646208232048</v>
      </c>
      <c r="AH190">
        <f t="shared" si="21"/>
        <v>0.43506042527117744</v>
      </c>
      <c r="AI190">
        <f t="shared" si="22"/>
        <v>-0.14159227118348208</v>
      </c>
      <c r="AJ190" s="34">
        <v>0.66824071601071078</v>
      </c>
      <c r="AK190" s="34">
        <v>0.44370103606271216</v>
      </c>
    </row>
    <row r="191" spans="19:37" x14ac:dyDescent="0.25">
      <c r="S191" s="47">
        <f t="shared" si="19"/>
        <v>0.79081696097597565</v>
      </c>
      <c r="T191" s="47">
        <f t="shared" si="20"/>
        <v>13.816880625436811</v>
      </c>
      <c r="U191" s="47"/>
      <c r="V191" s="47"/>
      <c r="W191" s="47">
        <f t="shared" si="24"/>
        <v>12.514274258990728</v>
      </c>
      <c r="X191" s="47">
        <f t="shared" si="23"/>
        <v>11.211667892544645</v>
      </c>
      <c r="Y191" s="47">
        <f t="shared" si="23"/>
        <v>9.9090615260985597</v>
      </c>
      <c r="Z191" s="47">
        <f t="shared" si="23"/>
        <v>8.6064551596524765</v>
      </c>
      <c r="AA191" s="47">
        <f t="shared" si="23"/>
        <v>7.3038487932063934</v>
      </c>
      <c r="AB191" s="47">
        <f t="shared" si="23"/>
        <v>6.0012424267603102</v>
      </c>
      <c r="AC191" s="47">
        <f t="shared" si="23"/>
        <v>4.698636060314227</v>
      </c>
      <c r="AD191" s="47">
        <f t="shared" si="23"/>
        <v>3.3960296938681438</v>
      </c>
      <c r="AE191" s="47">
        <f t="shared" si="23"/>
        <v>2.0934233274220602</v>
      </c>
      <c r="AH191">
        <f t="shared" si="21"/>
        <v>-0.58371919782480375</v>
      </c>
      <c r="AI191">
        <f t="shared" si="22"/>
        <v>1.0996067950717647</v>
      </c>
      <c r="AJ191" s="34">
        <v>0.27970462446474242</v>
      </c>
      <c r="AK191" s="34">
        <v>0.86424825997833565</v>
      </c>
    </row>
    <row r="192" spans="19:37" x14ac:dyDescent="0.25">
      <c r="S192" s="47">
        <f t="shared" si="19"/>
        <v>21.890402718285621</v>
      </c>
      <c r="T192" s="47">
        <f t="shared" si="20"/>
        <v>16.59252613283299</v>
      </c>
      <c r="U192" s="47"/>
      <c r="V192" s="47"/>
      <c r="W192" s="47">
        <f t="shared" si="24"/>
        <v>17.122313791378254</v>
      </c>
      <c r="X192" s="47">
        <f t="shared" si="23"/>
        <v>17.652101449923517</v>
      </c>
      <c r="Y192" s="47">
        <f t="shared" si="23"/>
        <v>18.181889108468781</v>
      </c>
      <c r="Z192" s="47">
        <f t="shared" si="23"/>
        <v>18.71167676701404</v>
      </c>
      <c r="AA192" s="47">
        <f t="shared" si="23"/>
        <v>19.241464425559307</v>
      </c>
      <c r="AB192" s="47">
        <f t="shared" si="23"/>
        <v>19.771252084104567</v>
      </c>
      <c r="AC192" s="47">
        <f t="shared" si="23"/>
        <v>20.301039742649831</v>
      </c>
      <c r="AD192" s="47">
        <f t="shared" si="23"/>
        <v>20.830827401195094</v>
      </c>
      <c r="AE192" s="47">
        <f t="shared" si="23"/>
        <v>21.360615059740358</v>
      </c>
      <c r="AH192">
        <f t="shared" si="21"/>
        <v>0.80807405793440767</v>
      </c>
      <c r="AI192">
        <f t="shared" si="22"/>
        <v>1.614568855813171</v>
      </c>
      <c r="AJ192" s="34">
        <v>0.790476024700135</v>
      </c>
      <c r="AK192" s="34">
        <v>0.94679795277354351</v>
      </c>
    </row>
    <row r="193" spans="19:37" x14ac:dyDescent="0.25">
      <c r="S193" s="47">
        <f t="shared" si="19"/>
        <v>19.83612533258615</v>
      </c>
      <c r="T193" s="47">
        <f t="shared" si="20"/>
        <v>14.772554355867541</v>
      </c>
      <c r="U193" s="47"/>
      <c r="V193" s="47"/>
      <c r="W193" s="47">
        <f t="shared" si="24"/>
        <v>15.278911453539402</v>
      </c>
      <c r="X193" s="47">
        <f t="shared" si="23"/>
        <v>15.785268551211264</v>
      </c>
      <c r="Y193" s="47">
        <f t="shared" si="23"/>
        <v>16.291625648883123</v>
      </c>
      <c r="Z193" s="47">
        <f t="shared" si="23"/>
        <v>16.797982746554986</v>
      </c>
      <c r="AA193" s="47">
        <f t="shared" si="23"/>
        <v>17.304339844226845</v>
      </c>
      <c r="AB193" s="47">
        <f t="shared" si="23"/>
        <v>17.810696941898705</v>
      </c>
      <c r="AC193" s="47">
        <f t="shared" si="23"/>
        <v>18.317054039570568</v>
      </c>
      <c r="AD193" s="47">
        <f t="shared" si="23"/>
        <v>18.823411137242427</v>
      </c>
      <c r="AE193" s="47">
        <f t="shared" si="23"/>
        <v>19.32976823491429</v>
      </c>
      <c r="AH193">
        <f t="shared" si="21"/>
        <v>0.67256763407560349</v>
      </c>
      <c r="AI193">
        <f t="shared" si="22"/>
        <v>1.2769117543353508</v>
      </c>
      <c r="AJ193" s="34">
        <v>0.74938880079489001</v>
      </c>
      <c r="AK193" s="34">
        <v>0.89918329808553754</v>
      </c>
    </row>
    <row r="194" spans="19:37" x14ac:dyDescent="0.25">
      <c r="S194" s="47">
        <f t="shared" si="19"/>
        <v>15.164725635514202</v>
      </c>
      <c r="T194" s="47">
        <f t="shared" si="20"/>
        <v>12.995689935626356</v>
      </c>
      <c r="U194" s="47"/>
      <c r="V194" s="47"/>
      <c r="W194" s="47">
        <f t="shared" si="24"/>
        <v>13.212593505615141</v>
      </c>
      <c r="X194" s="47">
        <f t="shared" si="23"/>
        <v>13.429497075603924</v>
      </c>
      <c r="Y194" s="47">
        <f t="shared" si="23"/>
        <v>13.64640064559271</v>
      </c>
      <c r="Z194" s="47">
        <f t="shared" si="23"/>
        <v>13.863304215581493</v>
      </c>
      <c r="AA194" s="47">
        <f t="shared" si="23"/>
        <v>14.080207785570279</v>
      </c>
      <c r="AB194" s="47">
        <f t="shared" si="23"/>
        <v>14.297111355559062</v>
      </c>
      <c r="AC194" s="47">
        <f t="shared" si="23"/>
        <v>14.514014925547848</v>
      </c>
      <c r="AD194" s="47">
        <f t="shared" si="23"/>
        <v>14.730918495536631</v>
      </c>
      <c r="AE194" s="47">
        <f t="shared" si="23"/>
        <v>14.947822065525418</v>
      </c>
      <c r="AH194">
        <f t="shared" si="21"/>
        <v>0.36442781236901073</v>
      </c>
      <c r="AI194">
        <f t="shared" si="22"/>
        <v>0.9472523071662996</v>
      </c>
      <c r="AJ194" s="34">
        <v>0.64223071499055151</v>
      </c>
      <c r="AK194" s="34">
        <v>0.82824488643249183</v>
      </c>
    </row>
    <row r="195" spans="19:37" x14ac:dyDescent="0.25">
      <c r="S195" s="47">
        <f t="shared" si="19"/>
        <v>-5.9482853366280342</v>
      </c>
      <c r="T195" s="47">
        <f t="shared" si="20"/>
        <v>8.2330980745894582</v>
      </c>
      <c r="U195" s="47"/>
      <c r="V195" s="47"/>
      <c r="W195" s="47">
        <f t="shared" si="24"/>
        <v>6.8149597334677088</v>
      </c>
      <c r="X195" s="47">
        <f t="shared" si="23"/>
        <v>5.3968213923459603</v>
      </c>
      <c r="Y195" s="47">
        <f t="shared" si="23"/>
        <v>3.97868305122421</v>
      </c>
      <c r="Z195" s="47">
        <f t="shared" si="23"/>
        <v>2.5605447101024614</v>
      </c>
      <c r="AA195" s="47">
        <f t="shared" si="23"/>
        <v>1.142406368980712</v>
      </c>
      <c r="AB195" s="47">
        <f t="shared" si="23"/>
        <v>-0.27573197214103695</v>
      </c>
      <c r="AC195" s="47">
        <f t="shared" si="23"/>
        <v>-1.6938703132627859</v>
      </c>
      <c r="AD195" s="47">
        <f t="shared" si="23"/>
        <v>-3.1120086543845353</v>
      </c>
      <c r="AE195" s="47">
        <f t="shared" si="23"/>
        <v>-4.530146995506283</v>
      </c>
      <c r="AH195">
        <f t="shared" si="21"/>
        <v>-1.0282510116509258</v>
      </c>
      <c r="AI195">
        <f t="shared" si="22"/>
        <v>6.3654559293034929E-2</v>
      </c>
      <c r="AJ195" s="34">
        <v>0.15191588419906688</v>
      </c>
      <c r="AK195" s="34">
        <v>0.52537735612230652</v>
      </c>
    </row>
    <row r="196" spans="19:37" x14ac:dyDescent="0.25">
      <c r="S196" s="47">
        <f t="shared" si="19"/>
        <v>-8.1930166769756916</v>
      </c>
      <c r="T196" s="47">
        <f t="shared" si="20"/>
        <v>5.0257842781360242</v>
      </c>
      <c r="U196" s="47"/>
      <c r="V196" s="47"/>
      <c r="W196" s="47">
        <f t="shared" si="24"/>
        <v>3.7039041826248531</v>
      </c>
      <c r="X196" s="47">
        <f t="shared" si="23"/>
        <v>2.3820240871136811</v>
      </c>
      <c r="Y196" s="47">
        <f t="shared" ref="X196:AE210" si="25">$S196*Y$7+$T196*Y$8</f>
        <v>1.0601439916025091</v>
      </c>
      <c r="Z196" s="47">
        <f t="shared" si="25"/>
        <v>-0.26173610390866209</v>
      </c>
      <c r="AA196" s="47">
        <f t="shared" si="25"/>
        <v>-1.5836161994198337</v>
      </c>
      <c r="AB196" s="47">
        <f t="shared" si="25"/>
        <v>-2.9054962949310048</v>
      </c>
      <c r="AC196" s="47">
        <f t="shared" si="25"/>
        <v>-4.2273763904421759</v>
      </c>
      <c r="AD196" s="47">
        <f t="shared" si="25"/>
        <v>-5.5492564859533475</v>
      </c>
      <c r="AE196" s="47">
        <f t="shared" si="25"/>
        <v>-6.8711365814645191</v>
      </c>
      <c r="AH196">
        <f t="shared" si="21"/>
        <v>-1.1763203612780799</v>
      </c>
      <c r="AI196">
        <f t="shared" si="22"/>
        <v>-0.53139438253506033</v>
      </c>
      <c r="AJ196" s="34">
        <v>0.11973344114227535</v>
      </c>
      <c r="AK196" s="34">
        <v>0.29757275670848637</v>
      </c>
    </row>
    <row r="197" spans="19:37" x14ac:dyDescent="0.25">
      <c r="S197" s="47">
        <f t="shared" si="19"/>
        <v>36.839845045690829</v>
      </c>
      <c r="T197" s="47">
        <f t="shared" si="20"/>
        <v>12.786978160464663</v>
      </c>
      <c r="U197" s="47"/>
      <c r="V197" s="47"/>
      <c r="W197" s="47">
        <f t="shared" si="24"/>
        <v>15.192264848987282</v>
      </c>
      <c r="X197" s="47">
        <f t="shared" si="25"/>
        <v>17.597551537509897</v>
      </c>
      <c r="Y197" s="47">
        <f t="shared" si="25"/>
        <v>20.002838226032516</v>
      </c>
      <c r="Z197" s="47">
        <f t="shared" si="25"/>
        <v>22.408124914555131</v>
      </c>
      <c r="AA197" s="47">
        <f t="shared" si="25"/>
        <v>24.813411603077746</v>
      </c>
      <c r="AB197" s="47">
        <f t="shared" si="25"/>
        <v>27.218698291600361</v>
      </c>
      <c r="AC197" s="47">
        <f t="shared" si="25"/>
        <v>29.623984980122977</v>
      </c>
      <c r="AD197" s="47">
        <f t="shared" si="25"/>
        <v>32.029271668645592</v>
      </c>
      <c r="AE197" s="47">
        <f t="shared" si="25"/>
        <v>34.434558357168207</v>
      </c>
      <c r="AH197">
        <f t="shared" si="21"/>
        <v>1.7941850293991313</v>
      </c>
      <c r="AI197">
        <f t="shared" si="22"/>
        <v>0.9085302709581935</v>
      </c>
      <c r="AJ197" s="34">
        <v>0.96360817959022227</v>
      </c>
      <c r="AK197" s="34">
        <v>0.81820093599379662</v>
      </c>
    </row>
    <row r="198" spans="19:37" x14ac:dyDescent="0.25">
      <c r="S198" s="47">
        <f t="shared" si="19"/>
        <v>18.088022623529277</v>
      </c>
      <c r="T198" s="47">
        <f t="shared" si="20"/>
        <v>-4.1520993793873968</v>
      </c>
      <c r="U198" s="47"/>
      <c r="V198" s="47"/>
      <c r="W198" s="47">
        <f t="shared" si="24"/>
        <v>-1.9280871790957295</v>
      </c>
      <c r="X198" s="47">
        <f t="shared" si="25"/>
        <v>0.29592502119593789</v>
      </c>
      <c r="Y198" s="47">
        <f t="shared" si="25"/>
        <v>2.5199372214876061</v>
      </c>
      <c r="Z198" s="47">
        <f t="shared" si="25"/>
        <v>4.7439494217792735</v>
      </c>
      <c r="AA198" s="47">
        <f t="shared" si="25"/>
        <v>6.9679616220709395</v>
      </c>
      <c r="AB198" s="47">
        <f t="shared" si="25"/>
        <v>9.1919738223626055</v>
      </c>
      <c r="AC198" s="47">
        <f t="shared" si="25"/>
        <v>11.415986022654273</v>
      </c>
      <c r="AD198" s="47">
        <f t="shared" si="25"/>
        <v>13.639998222945941</v>
      </c>
      <c r="AE198" s="47">
        <f t="shared" si="25"/>
        <v>15.864010423237605</v>
      </c>
      <c r="AH198">
        <f t="shared" si="21"/>
        <v>0.55725742899269615</v>
      </c>
      <c r="AI198">
        <f t="shared" si="22"/>
        <v>-2.2341557290143594</v>
      </c>
      <c r="AJ198" s="34">
        <v>0.71132422139702378</v>
      </c>
      <c r="AK198" s="34">
        <v>1.2736414110768313E-2</v>
      </c>
    </row>
    <row r="199" spans="19:37" x14ac:dyDescent="0.25">
      <c r="S199" s="47">
        <f t="shared" si="19"/>
        <v>5.4318667427184479</v>
      </c>
      <c r="T199" s="47">
        <f t="shared" si="20"/>
        <v>16.567047465547731</v>
      </c>
      <c r="U199" s="47"/>
      <c r="V199" s="47"/>
      <c r="W199" s="47">
        <f t="shared" si="24"/>
        <v>15.453529393264802</v>
      </c>
      <c r="X199" s="47">
        <f t="shared" si="25"/>
        <v>14.340011320981874</v>
      </c>
      <c r="Y199" s="47">
        <f t="shared" si="25"/>
        <v>13.226493248698945</v>
      </c>
      <c r="Z199" s="47">
        <f t="shared" si="25"/>
        <v>12.112975176416018</v>
      </c>
      <c r="AA199" s="47">
        <f t="shared" si="25"/>
        <v>10.999457104133089</v>
      </c>
      <c r="AB199" s="47">
        <f t="shared" si="25"/>
        <v>9.8859390318501603</v>
      </c>
      <c r="AC199" s="47">
        <f t="shared" si="25"/>
        <v>8.7724209595672331</v>
      </c>
      <c r="AD199" s="47">
        <f t="shared" si="25"/>
        <v>7.658902887284305</v>
      </c>
      <c r="AE199" s="47">
        <f t="shared" si="25"/>
        <v>6.5453848150013778</v>
      </c>
      <c r="AH199">
        <f t="shared" si="21"/>
        <v>-0.27758134942490453</v>
      </c>
      <c r="AI199">
        <f t="shared" si="22"/>
        <v>1.609841830342807</v>
      </c>
      <c r="AJ199" s="34">
        <v>0.39066687535581324</v>
      </c>
      <c r="AK199" s="34">
        <v>0.94628380468157314</v>
      </c>
    </row>
    <row r="200" spans="19:37" x14ac:dyDescent="0.25">
      <c r="S200" s="47">
        <f t="shared" si="19"/>
        <v>15.073173825602957</v>
      </c>
      <c r="T200" s="47">
        <f t="shared" si="20"/>
        <v>15.033637136730521</v>
      </c>
      <c r="U200" s="47"/>
      <c r="V200" s="47"/>
      <c r="W200" s="47">
        <f t="shared" si="24"/>
        <v>15.037590805617764</v>
      </c>
      <c r="X200" s="47">
        <f t="shared" si="25"/>
        <v>15.04154447450501</v>
      </c>
      <c r="Y200" s="47">
        <f t="shared" si="25"/>
        <v>15.045498143392251</v>
      </c>
      <c r="Z200" s="47">
        <f t="shared" si="25"/>
        <v>15.049451812279496</v>
      </c>
      <c r="AA200" s="47">
        <f t="shared" si="25"/>
        <v>15.053405481166738</v>
      </c>
      <c r="AB200" s="47">
        <f t="shared" si="25"/>
        <v>15.057359150053983</v>
      </c>
      <c r="AC200" s="47">
        <f t="shared" si="25"/>
        <v>15.061312818941225</v>
      </c>
      <c r="AD200" s="47">
        <f t="shared" si="25"/>
        <v>15.06526648782847</v>
      </c>
      <c r="AE200" s="47">
        <f t="shared" si="25"/>
        <v>15.069220156715714</v>
      </c>
      <c r="AH200">
        <f t="shared" si="21"/>
        <v>0.35838877477592057</v>
      </c>
      <c r="AI200">
        <f t="shared" si="22"/>
        <v>1.3253501181318221</v>
      </c>
      <c r="AJ200" s="34">
        <v>0.63997380452196351</v>
      </c>
      <c r="AK200" s="34">
        <v>0.90747247335119452</v>
      </c>
    </row>
    <row r="201" spans="19:37" x14ac:dyDescent="0.25">
      <c r="S201" s="47">
        <f t="shared" si="19"/>
        <v>-11.957322538257014</v>
      </c>
      <c r="T201" s="47">
        <f t="shared" si="20"/>
        <v>13.59778203943851</v>
      </c>
      <c r="U201" s="47"/>
      <c r="V201" s="47"/>
      <c r="W201" s="47">
        <f t="shared" si="24"/>
        <v>11.042271581668958</v>
      </c>
      <c r="X201" s="47">
        <f t="shared" si="25"/>
        <v>8.4867611238994058</v>
      </c>
      <c r="Y201" s="47">
        <f t="shared" si="25"/>
        <v>5.9312506661298521</v>
      </c>
      <c r="Z201" s="47">
        <f t="shared" si="25"/>
        <v>3.3757402083603001</v>
      </c>
      <c r="AA201" s="47">
        <f t="shared" si="25"/>
        <v>0.8202297505907481</v>
      </c>
      <c r="AB201" s="47">
        <f t="shared" si="25"/>
        <v>-1.7352807071788039</v>
      </c>
      <c r="AC201" s="47">
        <f t="shared" si="25"/>
        <v>-4.2907911649483559</v>
      </c>
      <c r="AD201" s="47">
        <f t="shared" si="25"/>
        <v>-6.8463016227179079</v>
      </c>
      <c r="AE201" s="47">
        <f t="shared" si="25"/>
        <v>-9.4018120804874581</v>
      </c>
      <c r="AH201">
        <f t="shared" si="21"/>
        <v>-1.4246254972465049</v>
      </c>
      <c r="AI201">
        <f t="shared" si="22"/>
        <v>1.0589577067603915</v>
      </c>
      <c r="AJ201" s="34">
        <v>7.7132742807574428E-2</v>
      </c>
      <c r="AK201" s="34">
        <v>0.8551904792984758</v>
      </c>
    </row>
    <row r="202" spans="19:37" x14ac:dyDescent="0.25">
      <c r="S202" s="47">
        <f t="shared" si="19"/>
        <v>37.553100459169222</v>
      </c>
      <c r="T202" s="47">
        <f t="shared" si="20"/>
        <v>7.02918804998379</v>
      </c>
      <c r="U202" s="47"/>
      <c r="V202" s="47"/>
      <c r="W202" s="47">
        <f t="shared" si="24"/>
        <v>10.081579290902333</v>
      </c>
      <c r="X202" s="47">
        <f t="shared" si="25"/>
        <v>13.133970531820877</v>
      </c>
      <c r="Y202" s="47">
        <f t="shared" si="25"/>
        <v>16.186361772739421</v>
      </c>
      <c r="Z202" s="47">
        <f t="shared" si="25"/>
        <v>19.238753013657963</v>
      </c>
      <c r="AA202" s="47">
        <f t="shared" si="25"/>
        <v>22.291144254576505</v>
      </c>
      <c r="AB202" s="47">
        <f t="shared" si="25"/>
        <v>25.343535495495047</v>
      </c>
      <c r="AC202" s="47">
        <f t="shared" si="25"/>
        <v>28.395926736413593</v>
      </c>
      <c r="AD202" s="47">
        <f t="shared" si="25"/>
        <v>31.448317977332135</v>
      </c>
      <c r="AE202" s="47">
        <f t="shared" si="25"/>
        <v>34.500709218250677</v>
      </c>
      <c r="AH202">
        <f t="shared" si="21"/>
        <v>1.8412335395230357</v>
      </c>
      <c r="AI202">
        <f t="shared" si="22"/>
        <v>-0.15970537106052132</v>
      </c>
      <c r="AJ202" s="34">
        <v>0.96720632883871749</v>
      </c>
      <c r="AK202" s="34">
        <v>0.43655658485981197</v>
      </c>
    </row>
    <row r="203" spans="19:37" x14ac:dyDescent="0.25">
      <c r="S203" s="47">
        <f t="shared" ref="S203:S210" si="26">9.64+15.16*AH203</f>
        <v>-10.422366003447316</v>
      </c>
      <c r="T203" s="47">
        <f t="shared" ref="T203:T210" si="27">7.89+5.39*AI203</f>
        <v>10.002235620296839</v>
      </c>
      <c r="U203" s="47"/>
      <c r="V203" s="47"/>
      <c r="W203" s="47">
        <f t="shared" si="24"/>
        <v>7.959775457922424</v>
      </c>
      <c r="X203" s="47">
        <f t="shared" si="25"/>
        <v>5.9173152955480086</v>
      </c>
      <c r="Y203" s="47">
        <f t="shared" si="25"/>
        <v>3.8748551331735919</v>
      </c>
      <c r="Z203" s="47">
        <f t="shared" si="25"/>
        <v>1.832394970799176</v>
      </c>
      <c r="AA203" s="47">
        <f t="shared" si="25"/>
        <v>-0.21006519157523851</v>
      </c>
      <c r="AB203" s="47">
        <f t="shared" si="25"/>
        <v>-2.252525353949653</v>
      </c>
      <c r="AC203" s="47">
        <f t="shared" si="25"/>
        <v>-4.2949855163240684</v>
      </c>
      <c r="AD203" s="47">
        <f t="shared" si="25"/>
        <v>-6.337445678698483</v>
      </c>
      <c r="AE203" s="47">
        <f t="shared" si="25"/>
        <v>-8.3799058410728975</v>
      </c>
      <c r="AH203">
        <f t="shared" ref="AH203:AH210" si="28">_xlfn.NORM.S.INV(AJ203)</f>
        <v>-1.3233750661904562</v>
      </c>
      <c r="AI203">
        <f t="shared" ref="AI203:AI210" si="29">_xlfn.NORM.S.INV(AK203)</f>
        <v>0.39188044903466412</v>
      </c>
      <c r="AJ203" s="34">
        <v>9.2855339682944349E-2</v>
      </c>
      <c r="AK203" s="34">
        <v>0.65242672531442969</v>
      </c>
    </row>
    <row r="204" spans="19:37" x14ac:dyDescent="0.25">
      <c r="S204" s="47">
        <f t="shared" si="26"/>
        <v>33.863828880195769</v>
      </c>
      <c r="T204" s="47">
        <f t="shared" si="27"/>
        <v>5.2655705353585169</v>
      </c>
      <c r="U204" s="47"/>
      <c r="V204" s="47"/>
      <c r="W204" s="47">
        <f t="shared" si="24"/>
        <v>8.1253963698422424</v>
      </c>
      <c r="X204" s="47">
        <f t="shared" si="25"/>
        <v>10.985222204325968</v>
      </c>
      <c r="Y204" s="47">
        <f t="shared" si="25"/>
        <v>13.845048038809693</v>
      </c>
      <c r="Z204" s="47">
        <f t="shared" si="25"/>
        <v>16.704873873293419</v>
      </c>
      <c r="AA204" s="47">
        <f t="shared" si="25"/>
        <v>19.564699707777145</v>
      </c>
      <c r="AB204" s="47">
        <f t="shared" si="25"/>
        <v>22.424525542260866</v>
      </c>
      <c r="AC204" s="47">
        <f t="shared" si="25"/>
        <v>25.284351376744592</v>
      </c>
      <c r="AD204" s="47">
        <f t="shared" si="25"/>
        <v>28.144177211228318</v>
      </c>
      <c r="AE204" s="47">
        <f t="shared" si="25"/>
        <v>31.004003045712043</v>
      </c>
      <c r="AH204">
        <f t="shared" si="28"/>
        <v>1.5978778944720162</v>
      </c>
      <c r="AI204">
        <f t="shared" si="29"/>
        <v>-0.48690713629712101</v>
      </c>
      <c r="AJ204" s="34">
        <v>0.94496492269779719</v>
      </c>
      <c r="AK204" s="34">
        <v>0.31316207073077473</v>
      </c>
    </row>
    <row r="205" spans="19:37" x14ac:dyDescent="0.25">
      <c r="S205" s="47">
        <f t="shared" si="26"/>
        <v>19.432516643149622</v>
      </c>
      <c r="T205" s="47">
        <f t="shared" si="27"/>
        <v>1.808376459940539</v>
      </c>
      <c r="U205" s="47"/>
      <c r="V205" s="47"/>
      <c r="W205" s="47">
        <f t="shared" si="24"/>
        <v>3.570790478261447</v>
      </c>
      <c r="X205" s="47">
        <f t="shared" si="25"/>
        <v>5.333204496582356</v>
      </c>
      <c r="Y205" s="47">
        <f t="shared" si="25"/>
        <v>7.0956185149032649</v>
      </c>
      <c r="Z205" s="47">
        <f t="shared" si="25"/>
        <v>8.8580325332241721</v>
      </c>
      <c r="AA205" s="47">
        <f t="shared" si="25"/>
        <v>10.620446551545081</v>
      </c>
      <c r="AB205" s="47">
        <f t="shared" si="25"/>
        <v>12.382860569865988</v>
      </c>
      <c r="AC205" s="47">
        <f t="shared" si="25"/>
        <v>14.145274588186897</v>
      </c>
      <c r="AD205" s="47">
        <f t="shared" si="25"/>
        <v>15.907688606507804</v>
      </c>
      <c r="AE205" s="47">
        <f t="shared" si="25"/>
        <v>17.670102624828711</v>
      </c>
      <c r="AH205">
        <f t="shared" si="28"/>
        <v>0.64594436960089852</v>
      </c>
      <c r="AI205">
        <f t="shared" si="29"/>
        <v>-1.1283160556696588</v>
      </c>
      <c r="AJ205" s="34">
        <v>0.74084230825844744</v>
      </c>
      <c r="AK205" s="34">
        <v>0.12959323257706701</v>
      </c>
    </row>
    <row r="206" spans="19:37" x14ac:dyDescent="0.25">
      <c r="S206" s="47">
        <f t="shared" si="26"/>
        <v>26.658686592077657</v>
      </c>
      <c r="T206" s="47">
        <f t="shared" si="27"/>
        <v>7.7031421929997226</v>
      </c>
      <c r="U206" s="47"/>
      <c r="V206" s="47"/>
      <c r="W206" s="47">
        <f t="shared" si="24"/>
        <v>9.598696632907517</v>
      </c>
      <c r="X206" s="47">
        <f t="shared" si="25"/>
        <v>11.49425107281531</v>
      </c>
      <c r="Y206" s="47">
        <f t="shared" si="25"/>
        <v>13.389805512723104</v>
      </c>
      <c r="Z206" s="47">
        <f t="shared" si="25"/>
        <v>15.285359952630897</v>
      </c>
      <c r="AA206" s="47">
        <f t="shared" si="25"/>
        <v>17.180914392538689</v>
      </c>
      <c r="AB206" s="47">
        <f t="shared" si="25"/>
        <v>19.076468832446484</v>
      </c>
      <c r="AC206" s="47">
        <f t="shared" si="25"/>
        <v>20.972023272354278</v>
      </c>
      <c r="AD206" s="47">
        <f t="shared" si="25"/>
        <v>22.867577712262069</v>
      </c>
      <c r="AE206" s="47">
        <f t="shared" si="25"/>
        <v>24.763132152169863</v>
      </c>
      <c r="AH206">
        <f t="shared" si="28"/>
        <v>1.1226046564695025</v>
      </c>
      <c r="AI206">
        <f t="shared" si="29"/>
        <v>-3.4667496660533717E-2</v>
      </c>
      <c r="AJ206" s="34">
        <v>0.8691972815630169</v>
      </c>
      <c r="AK206" s="34">
        <v>0.4861724396236522</v>
      </c>
    </row>
    <row r="207" spans="19:37" x14ac:dyDescent="0.25">
      <c r="S207" s="47">
        <f t="shared" si="26"/>
        <v>14.430172610733848</v>
      </c>
      <c r="T207" s="47">
        <f t="shared" si="27"/>
        <v>2.7951192042749806</v>
      </c>
      <c r="U207" s="47"/>
      <c r="V207" s="47"/>
      <c r="W207" s="47">
        <f t="shared" si="24"/>
        <v>3.9586245449208675</v>
      </c>
      <c r="X207" s="47">
        <f t="shared" si="25"/>
        <v>5.1221298855667543</v>
      </c>
      <c r="Y207" s="47">
        <f t="shared" si="25"/>
        <v>6.2856352262126416</v>
      </c>
      <c r="Z207" s="47">
        <f t="shared" si="25"/>
        <v>7.449140566858528</v>
      </c>
      <c r="AA207" s="47">
        <f t="shared" si="25"/>
        <v>8.6126459075044153</v>
      </c>
      <c r="AB207" s="47">
        <f t="shared" si="25"/>
        <v>9.7761512481503008</v>
      </c>
      <c r="AC207" s="47">
        <f t="shared" si="25"/>
        <v>10.939656588796188</v>
      </c>
      <c r="AD207" s="47">
        <f t="shared" si="25"/>
        <v>12.103161929442074</v>
      </c>
      <c r="AE207" s="47">
        <f t="shared" si="25"/>
        <v>13.266667270087961</v>
      </c>
      <c r="AH207">
        <f t="shared" si="28"/>
        <v>0.31597444661832763</v>
      </c>
      <c r="AI207">
        <f t="shared" si="29"/>
        <v>-0.94524690087662699</v>
      </c>
      <c r="AJ207" s="34">
        <v>0.62398904805462974</v>
      </c>
      <c r="AK207" s="34">
        <v>0.17226642008564141</v>
      </c>
    </row>
    <row r="208" spans="19:37" x14ac:dyDescent="0.25">
      <c r="S208" s="47">
        <f t="shared" si="26"/>
        <v>20.762574185814131</v>
      </c>
      <c r="T208" s="47">
        <f t="shared" si="27"/>
        <v>1.4405550503001869</v>
      </c>
      <c r="U208" s="47"/>
      <c r="V208" s="47"/>
      <c r="W208" s="47">
        <f t="shared" si="24"/>
        <v>3.3727569638515815</v>
      </c>
      <c r="X208" s="47">
        <f t="shared" si="25"/>
        <v>5.3049588774029761</v>
      </c>
      <c r="Y208" s="47">
        <f t="shared" si="25"/>
        <v>7.2371607909543707</v>
      </c>
      <c r="Z208" s="47">
        <f t="shared" si="25"/>
        <v>9.1693627045057653</v>
      </c>
      <c r="AA208" s="47">
        <f t="shared" si="25"/>
        <v>11.101564618057159</v>
      </c>
      <c r="AB208" s="47">
        <f t="shared" si="25"/>
        <v>13.033766531608553</v>
      </c>
      <c r="AC208" s="47">
        <f t="shared" si="25"/>
        <v>14.965968445159946</v>
      </c>
      <c r="AD208" s="47">
        <f t="shared" si="25"/>
        <v>16.898170358711344</v>
      </c>
      <c r="AE208" s="47">
        <f t="shared" si="25"/>
        <v>18.830372272262732</v>
      </c>
      <c r="AH208">
        <f t="shared" si="28"/>
        <v>0.73367903600357065</v>
      </c>
      <c r="AI208">
        <f t="shared" si="29"/>
        <v>-1.1965575045825256</v>
      </c>
      <c r="AJ208" s="34">
        <v>0.76842781084608258</v>
      </c>
      <c r="AK208" s="34">
        <v>0.11573953615805888</v>
      </c>
    </row>
    <row r="209" spans="19:37" x14ac:dyDescent="0.25">
      <c r="S209" s="47">
        <f t="shared" si="26"/>
        <v>-9.0771009259170228</v>
      </c>
      <c r="T209" s="47">
        <f t="shared" si="27"/>
        <v>8.8453433674559534</v>
      </c>
      <c r="U209" s="47"/>
      <c r="V209" s="47"/>
      <c r="W209" s="47">
        <f t="shared" si="24"/>
        <v>7.053098938118656</v>
      </c>
      <c r="X209" s="47">
        <f t="shared" si="25"/>
        <v>5.2608545087813585</v>
      </c>
      <c r="Y209" s="47">
        <f t="shared" si="25"/>
        <v>3.4686100794440602</v>
      </c>
      <c r="Z209" s="47">
        <f t="shared" si="25"/>
        <v>1.6763656501067628</v>
      </c>
      <c r="AA209" s="47">
        <f t="shared" si="25"/>
        <v>-0.11587877923053469</v>
      </c>
      <c r="AB209" s="47">
        <f t="shared" si="25"/>
        <v>-1.9081232085678321</v>
      </c>
      <c r="AC209" s="47">
        <f t="shared" si="25"/>
        <v>-3.7003676379051291</v>
      </c>
      <c r="AD209" s="47">
        <f t="shared" si="25"/>
        <v>-5.4926120672424261</v>
      </c>
      <c r="AE209" s="47">
        <f t="shared" si="25"/>
        <v>-7.2848564965797236</v>
      </c>
      <c r="AH209">
        <f t="shared" si="28"/>
        <v>-1.2346372642425476</v>
      </c>
      <c r="AI209">
        <f t="shared" si="29"/>
        <v>0.17724366743153136</v>
      </c>
      <c r="AJ209" s="34">
        <v>0.10848276691961212</v>
      </c>
      <c r="AK209" s="34">
        <v>0.57034150151733887</v>
      </c>
    </row>
    <row r="210" spans="19:37" x14ac:dyDescent="0.25">
      <c r="S210" s="47">
        <f t="shared" si="26"/>
        <v>-0.2883284190057811</v>
      </c>
      <c r="T210" s="47">
        <f t="shared" si="27"/>
        <v>5.4409306276854981</v>
      </c>
      <c r="U210" s="47"/>
      <c r="V210" s="47"/>
      <c r="W210" s="47">
        <f t="shared" si="24"/>
        <v>4.8680047230163703</v>
      </c>
      <c r="X210" s="47">
        <f t="shared" si="25"/>
        <v>4.2950788183472426</v>
      </c>
      <c r="Y210" s="47">
        <f t="shared" si="25"/>
        <v>3.722152913678114</v>
      </c>
      <c r="Z210" s="47">
        <f t="shared" si="25"/>
        <v>3.1492270090089862</v>
      </c>
      <c r="AA210" s="47">
        <f t="shared" si="25"/>
        <v>2.5763011043398585</v>
      </c>
      <c r="AB210" s="47">
        <f t="shared" si="25"/>
        <v>2.0033751996707307</v>
      </c>
      <c r="AC210" s="47">
        <f t="shared" si="25"/>
        <v>1.4304492950016028</v>
      </c>
      <c r="AD210" s="47">
        <f t="shared" si="25"/>
        <v>0.85752339033247504</v>
      </c>
      <c r="AE210" s="47">
        <f t="shared" si="25"/>
        <v>0.2845974856633473</v>
      </c>
      <c r="AH210">
        <f t="shared" si="28"/>
        <v>-0.65490293001357403</v>
      </c>
      <c r="AI210">
        <f t="shared" si="29"/>
        <v>-0.45437279634777406</v>
      </c>
      <c r="AJ210" s="34">
        <v>0.2562651268298477</v>
      </c>
      <c r="AK210" s="34">
        <v>0.32478026439937768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86"/>
  <sheetViews>
    <sheetView showGridLines="0" zoomScale="70" zoomScaleNormal="70" workbookViewId="0">
      <selection activeCell="CE85" sqref="CE85"/>
    </sheetView>
  </sheetViews>
  <sheetFormatPr defaultRowHeight="15" x14ac:dyDescent="0.25"/>
  <cols>
    <col min="1" max="1" width="12.85546875" bestFit="1" customWidth="1"/>
    <col min="2" max="2" width="15.85546875" customWidth="1"/>
    <col min="3" max="3" width="12.140625" customWidth="1"/>
    <col min="4" max="4" width="2.85546875" hidden="1" customWidth="1"/>
    <col min="5" max="5" width="8.42578125" customWidth="1"/>
    <col min="6" max="6" width="9.85546875" customWidth="1"/>
    <col min="7" max="7" width="6" customWidth="1"/>
    <col min="8" max="8" width="17.7109375" customWidth="1"/>
    <col min="9" max="11" width="11.85546875" customWidth="1"/>
    <col min="12" max="12" width="16.7109375" customWidth="1"/>
    <col min="13" max="14" width="11.85546875" customWidth="1"/>
    <col min="15" max="15" width="6.28515625" customWidth="1"/>
    <col min="16" max="16" width="16" customWidth="1"/>
    <col min="17" max="17" width="16.28515625" customWidth="1"/>
    <col min="19" max="19" width="12.28515625" customWidth="1"/>
    <col min="26" max="27" width="11.140625" customWidth="1"/>
    <col min="39" max="39" width="11.7109375" customWidth="1"/>
    <col min="49" max="51" width="11" customWidth="1"/>
    <col min="52" max="52" width="4.140625" customWidth="1"/>
    <col min="53" max="54" width="11" customWidth="1"/>
    <col min="73" max="73" width="19.28515625" bestFit="1" customWidth="1"/>
    <col min="85" max="85" width="16.42578125" customWidth="1"/>
    <col min="86" max="86" width="14" customWidth="1"/>
  </cols>
  <sheetData>
    <row r="1" spans="1:73" ht="35.25" customHeight="1" x14ac:dyDescent="0.25">
      <c r="A1" s="264" t="s">
        <v>587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4" spans="1:73" x14ac:dyDescent="0.25">
      <c r="A4" t="s">
        <v>21</v>
      </c>
      <c r="B4" s="58" t="s">
        <v>12</v>
      </c>
    </row>
    <row r="6" spans="1:73" ht="15.75" thickBot="1" x14ac:dyDescent="0.3">
      <c r="A6" s="128" t="s">
        <v>31</v>
      </c>
      <c r="B6" s="35">
        <f>H11/B10/C10/(B12-1)</f>
        <v>-0.61875763454355903</v>
      </c>
    </row>
    <row r="7" spans="1:73" ht="15.75" thickTop="1" x14ac:dyDescent="0.25">
      <c r="A7" s="194" t="s">
        <v>32</v>
      </c>
      <c r="B7" s="195">
        <f>B6*C10/B10</f>
        <v>-8.4569851539307832E-3</v>
      </c>
    </row>
    <row r="8" spans="1:73" ht="15.75" thickBot="1" x14ac:dyDescent="0.3">
      <c r="A8" s="196" t="s">
        <v>33</v>
      </c>
      <c r="B8" s="197">
        <f>C11-B11*B7</f>
        <v>0.92362847577449481</v>
      </c>
    </row>
    <row r="9" spans="1:73" ht="16.5" thickTop="1" thickBot="1" x14ac:dyDescent="0.3">
      <c r="A9" s="128"/>
      <c r="P9" s="201" t="s">
        <v>357</v>
      </c>
      <c r="Q9" s="202">
        <f>_xlfn.STDEV.S(Q15:Q180)</f>
        <v>7.3844713042289511E-2</v>
      </c>
    </row>
    <row r="10" spans="1:73" ht="19.5" thickTop="1" x14ac:dyDescent="0.3">
      <c r="A10" s="128" t="s">
        <v>30</v>
      </c>
      <c r="B10" s="35">
        <f>SQRT(I11/($B$12-1))</f>
        <v>6.8775367054964454</v>
      </c>
      <c r="C10" s="35">
        <f>SQRT(J11/($B$12-1))</f>
        <v>9.4000013198872162E-2</v>
      </c>
      <c r="G10" s="72" t="s">
        <v>498</v>
      </c>
    </row>
    <row r="11" spans="1:73" ht="19.5" thickBot="1" x14ac:dyDescent="0.35">
      <c r="A11" s="128" t="s">
        <v>22</v>
      </c>
      <c r="B11" s="35">
        <f>AVERAGE(B15:B180)</f>
        <v>12.367469879518072</v>
      </c>
      <c r="C11" s="35">
        <f>AVERAGE(C15:C180)</f>
        <v>0.81903696661172432</v>
      </c>
      <c r="E11" s="19"/>
      <c r="F11" s="19"/>
      <c r="G11" s="72" t="s">
        <v>28</v>
      </c>
      <c r="H11" s="31">
        <f>SUM(H15:H180)</f>
        <v>-66.003253873564589</v>
      </c>
      <c r="I11" s="31">
        <f>SUM(I15:I180)</f>
        <v>7804.5843373493981</v>
      </c>
      <c r="J11" s="31">
        <f>SUM(J15:J180)</f>
        <v>1.4579404094290433</v>
      </c>
      <c r="K11" s="73"/>
      <c r="L11" s="73"/>
      <c r="M11" s="73"/>
      <c r="N11" s="73"/>
      <c r="Q11" s="73"/>
    </row>
    <row r="12" spans="1:73" ht="25.5" customHeight="1" thickTop="1" x14ac:dyDescent="0.4">
      <c r="A12" s="128" t="s">
        <v>29</v>
      </c>
      <c r="B12" s="1">
        <f>COUNT(B15:B180)</f>
        <v>166</v>
      </c>
      <c r="D12" s="34"/>
      <c r="E12" s="34"/>
      <c r="I12" s="35"/>
      <c r="J12" s="35"/>
      <c r="K12" s="35"/>
      <c r="L12" s="35"/>
      <c r="M12" s="35"/>
      <c r="N12" s="35"/>
      <c r="O12" s="35"/>
      <c r="S12" s="277" t="s">
        <v>448</v>
      </c>
      <c r="T12" s="278"/>
      <c r="U12" s="278"/>
      <c r="V12" s="278"/>
      <c r="W12" s="278"/>
      <c r="X12" s="278"/>
      <c r="Y12" s="278"/>
      <c r="Z12" s="278"/>
      <c r="AA12" s="279"/>
      <c r="AC12" s="277" t="s">
        <v>34</v>
      </c>
      <c r="AD12" s="278"/>
      <c r="AE12" s="278"/>
      <c r="AF12" s="278"/>
      <c r="AG12" s="278"/>
      <c r="AH12" s="278"/>
      <c r="AI12" s="278"/>
      <c r="AJ12" s="278"/>
      <c r="AK12" s="279"/>
      <c r="AM12" s="284" t="s">
        <v>350</v>
      </c>
      <c r="AN12" s="285"/>
      <c r="AO12" s="285"/>
      <c r="AP12" s="285"/>
      <c r="AQ12" s="285"/>
      <c r="AR12" s="285"/>
      <c r="AS12" s="285"/>
      <c r="AT12" s="285"/>
      <c r="AU12" s="286"/>
      <c r="AV12" s="77"/>
      <c r="AW12" s="77"/>
      <c r="AX12" s="77"/>
      <c r="AY12" s="77"/>
      <c r="AZ12" s="77"/>
    </row>
    <row r="13" spans="1:73" ht="15.75" customHeight="1" thickBot="1" x14ac:dyDescent="0.3">
      <c r="L13" s="121"/>
      <c r="M13" s="121"/>
      <c r="N13" s="121"/>
      <c r="O13" s="136" t="s">
        <v>28</v>
      </c>
      <c r="P13" s="137">
        <f>SUM(P15:P180)</f>
        <v>0.89975187130918366</v>
      </c>
      <c r="Q13" s="121"/>
      <c r="S13" s="52" t="s">
        <v>13</v>
      </c>
      <c r="T13" s="21">
        <v>1</v>
      </c>
      <c r="U13" s="21">
        <v>2</v>
      </c>
      <c r="V13" s="21">
        <v>3</v>
      </c>
      <c r="W13" s="21">
        <v>4</v>
      </c>
      <c r="X13" s="21">
        <v>5</v>
      </c>
      <c r="Y13" s="21">
        <v>6</v>
      </c>
      <c r="Z13" s="21">
        <v>7</v>
      </c>
      <c r="AA13" s="22">
        <v>8</v>
      </c>
      <c r="AC13" s="20" t="s">
        <v>13</v>
      </c>
      <c r="AD13" s="21">
        <v>1</v>
      </c>
      <c r="AE13" s="21">
        <v>2</v>
      </c>
      <c r="AF13" s="21">
        <v>3</v>
      </c>
      <c r="AG13" s="21">
        <v>4</v>
      </c>
      <c r="AH13" s="21">
        <v>5</v>
      </c>
      <c r="AI13" s="21">
        <v>6</v>
      </c>
      <c r="AJ13" s="21">
        <v>7</v>
      </c>
      <c r="AK13" s="22">
        <v>8</v>
      </c>
      <c r="AM13" s="76" t="s">
        <v>13</v>
      </c>
      <c r="AN13" s="21">
        <v>1</v>
      </c>
      <c r="AO13" s="21">
        <v>2</v>
      </c>
      <c r="AP13" s="21">
        <v>3</v>
      </c>
      <c r="AQ13" s="21">
        <v>4</v>
      </c>
      <c r="AR13" s="21">
        <v>5</v>
      </c>
      <c r="AS13" s="21">
        <v>6</v>
      </c>
      <c r="AT13" s="21">
        <v>7</v>
      </c>
      <c r="AU13" s="22">
        <v>8</v>
      </c>
      <c r="AV13" s="21"/>
      <c r="AW13" s="78"/>
      <c r="AX13" s="78"/>
      <c r="AY13" s="78"/>
      <c r="AZ13" s="78"/>
      <c r="BA13" s="78"/>
      <c r="BE13" s="271" t="s">
        <v>96</v>
      </c>
      <c r="BF13" s="271"/>
      <c r="BG13" s="271"/>
      <c r="BS13" t="s">
        <v>346</v>
      </c>
    </row>
    <row r="14" spans="1:73" ht="60.75" customHeight="1" thickTop="1" x14ac:dyDescent="0.3">
      <c r="B14" s="129" t="s">
        <v>20</v>
      </c>
      <c r="C14" s="129" t="s">
        <v>449</v>
      </c>
      <c r="D14" s="121"/>
      <c r="E14" s="130" t="s">
        <v>23</v>
      </c>
      <c r="F14" s="130" t="s">
        <v>24</v>
      </c>
      <c r="G14" s="121"/>
      <c r="H14" s="133" t="s">
        <v>25</v>
      </c>
      <c r="I14" s="130" t="s">
        <v>26</v>
      </c>
      <c r="J14" s="130" t="s">
        <v>27</v>
      </c>
      <c r="K14" s="36"/>
      <c r="L14" s="129" t="s">
        <v>20</v>
      </c>
      <c r="M14" s="129" t="str">
        <f>C14</f>
        <v>Normalized 
Viewers
(Y)</v>
      </c>
      <c r="N14" s="129" t="s">
        <v>348</v>
      </c>
      <c r="O14" s="129"/>
      <c r="P14" s="129" t="s">
        <v>349</v>
      </c>
      <c r="Q14" s="129" t="s">
        <v>352</v>
      </c>
      <c r="S14" s="52" t="s">
        <v>9</v>
      </c>
      <c r="T14" s="272" t="s">
        <v>11</v>
      </c>
      <c r="U14" s="272"/>
      <c r="V14" s="272"/>
      <c r="W14" s="272"/>
      <c r="X14" s="272"/>
      <c r="Y14" s="272"/>
      <c r="Z14" s="272"/>
      <c r="AA14" s="283"/>
      <c r="AC14" s="20" t="s">
        <v>9</v>
      </c>
      <c r="AD14" s="23"/>
      <c r="AE14" s="23"/>
      <c r="AF14" s="23"/>
      <c r="AG14" s="23"/>
      <c r="AH14" s="23"/>
      <c r="AI14" s="23"/>
      <c r="AJ14" s="23"/>
      <c r="AK14" s="24"/>
      <c r="AM14" s="20" t="s">
        <v>9</v>
      </c>
      <c r="AN14" s="23"/>
      <c r="AO14" s="23"/>
      <c r="AP14" s="23"/>
      <c r="AQ14" s="23"/>
      <c r="AR14" s="23"/>
      <c r="AS14" s="23"/>
      <c r="AT14" s="23"/>
      <c r="AU14" s="24"/>
      <c r="AV14" s="23"/>
      <c r="AW14" s="280" t="s">
        <v>454</v>
      </c>
      <c r="AX14" s="281"/>
      <c r="AY14" s="281"/>
      <c r="AZ14" s="281"/>
      <c r="BA14" s="281"/>
      <c r="BB14" s="282"/>
      <c r="BD14" s="23"/>
      <c r="BE14" s="51" t="s">
        <v>9</v>
      </c>
      <c r="BF14" s="1" t="s">
        <v>97</v>
      </c>
      <c r="BS14" s="66" t="s">
        <v>9</v>
      </c>
      <c r="BT14" s="65" t="s">
        <v>97</v>
      </c>
      <c r="BU14" t="s">
        <v>347</v>
      </c>
    </row>
    <row r="15" spans="1:73" ht="20.25" customHeight="1" x14ac:dyDescent="0.25">
      <c r="A15" s="289" t="s">
        <v>14</v>
      </c>
      <c r="B15" s="131">
        <f>AC15</f>
        <v>1</v>
      </c>
      <c r="C15" s="132">
        <f>AD15</f>
        <v>1</v>
      </c>
      <c r="D15" s="121"/>
      <c r="E15" s="101">
        <f>B15-$B$11</f>
        <v>-11.367469879518072</v>
      </c>
      <c r="F15" s="101">
        <f t="shared" ref="F15:F46" si="0">C15-$C$11</f>
        <v>0.18096303338827568</v>
      </c>
      <c r="G15" s="121"/>
      <c r="H15" s="101">
        <f>E15*F15</f>
        <v>-2.0570918313474471</v>
      </c>
      <c r="I15" s="101">
        <f>E15*E15</f>
        <v>129.21937146175063</v>
      </c>
      <c r="J15" s="101">
        <f>F15*F15</f>
        <v>3.2747619453086178E-2</v>
      </c>
      <c r="K15" s="31"/>
      <c r="L15" s="43">
        <f>B15</f>
        <v>1</v>
      </c>
      <c r="M15" s="101">
        <f>C15</f>
        <v>1</v>
      </c>
      <c r="N15" s="135">
        <f>$B$8+$B$7*L15</f>
        <v>0.91517149062056402</v>
      </c>
      <c r="O15" s="135"/>
      <c r="P15" s="135">
        <f>(M15-N15)^2</f>
        <v>7.1958760035370582E-3</v>
      </c>
      <c r="Q15" s="135">
        <f>N15-M15</f>
        <v>-8.4828509379435979E-2</v>
      </c>
      <c r="S15" s="52">
        <v>1</v>
      </c>
      <c r="T15" s="53">
        <v>12.6</v>
      </c>
      <c r="U15" s="53">
        <v>12.67</v>
      </c>
      <c r="V15" s="53">
        <v>14.52</v>
      </c>
      <c r="W15" s="53">
        <v>14.44</v>
      </c>
      <c r="X15" s="53">
        <v>11.71</v>
      </c>
      <c r="Y15" s="53">
        <v>11.38</v>
      </c>
      <c r="Z15" s="53">
        <v>9.4600000000000009</v>
      </c>
      <c r="AA15" s="54">
        <v>8.24</v>
      </c>
      <c r="AC15" s="20">
        <f>S15</f>
        <v>1</v>
      </c>
      <c r="AD15" s="26">
        <f t="shared" ref="AD15:AH15" si="1">T15/T$15</f>
        <v>1</v>
      </c>
      <c r="AE15" s="26">
        <f t="shared" si="1"/>
        <v>1</v>
      </c>
      <c r="AF15" s="26">
        <f t="shared" si="1"/>
        <v>1</v>
      </c>
      <c r="AG15" s="26">
        <f t="shared" si="1"/>
        <v>1</v>
      </c>
      <c r="AH15" s="26">
        <f t="shared" si="1"/>
        <v>1</v>
      </c>
      <c r="AI15" s="26">
        <f t="shared" ref="AI15:AK15" si="2">Y15/Y$15</f>
        <v>1</v>
      </c>
      <c r="AJ15" s="26">
        <f t="shared" si="2"/>
        <v>1</v>
      </c>
      <c r="AK15" s="27">
        <f t="shared" si="2"/>
        <v>1</v>
      </c>
      <c r="AM15" s="52">
        <f>AC15</f>
        <v>1</v>
      </c>
      <c r="AN15" s="53">
        <f t="shared" ref="AN15:AU15" si="3">($B$8+$AM15*$B$7)*T$15</f>
        <v>11.531160781819107</v>
      </c>
      <c r="AO15" s="53">
        <f t="shared" si="3"/>
        <v>11.595222786162546</v>
      </c>
      <c r="AP15" s="53">
        <f t="shared" si="3"/>
        <v>13.288290043810589</v>
      </c>
      <c r="AQ15" s="53">
        <f t="shared" si="3"/>
        <v>13.215076324560943</v>
      </c>
      <c r="AR15" s="53">
        <f t="shared" si="3"/>
        <v>10.716658155166806</v>
      </c>
      <c r="AS15" s="53">
        <f t="shared" si="3"/>
        <v>10.414651563262019</v>
      </c>
      <c r="AT15" s="53">
        <f t="shared" si="3"/>
        <v>8.6575223012705358</v>
      </c>
      <c r="AU15" s="54">
        <f t="shared" si="3"/>
        <v>7.5410130827134481</v>
      </c>
      <c r="AV15" s="53"/>
      <c r="AW15" s="80" t="s">
        <v>13</v>
      </c>
      <c r="AX15" s="138" t="s">
        <v>450</v>
      </c>
      <c r="AY15" s="138" t="s">
        <v>451</v>
      </c>
      <c r="AZ15" s="53"/>
      <c r="BA15" s="79" t="s">
        <v>452</v>
      </c>
      <c r="BB15" s="81" t="s">
        <v>453</v>
      </c>
      <c r="BD15" s="23"/>
      <c r="BE15" s="51">
        <v>1</v>
      </c>
      <c r="BF15" s="1">
        <v>10</v>
      </c>
      <c r="BS15">
        <f t="shared" ref="BS15:BS38" si="4">S15</f>
        <v>1</v>
      </c>
      <c r="BT15">
        <f t="shared" ref="BT15:BT38" si="5">T15</f>
        <v>12.6</v>
      </c>
      <c r="BU15" s="19">
        <f>AD15</f>
        <v>1</v>
      </c>
    </row>
    <row r="16" spans="1:73" x14ac:dyDescent="0.25">
      <c r="A16" s="289"/>
      <c r="B16" s="131">
        <f t="shared" ref="B16:B38" si="6">AC16</f>
        <v>2</v>
      </c>
      <c r="C16" s="132">
        <f t="shared" ref="C16:C38" si="7">AD16</f>
        <v>0.79285714285714293</v>
      </c>
      <c r="D16" s="121"/>
      <c r="E16" s="101">
        <f t="shared" ref="E16:E46" si="8">B16-$B$11</f>
        <v>-10.367469879518072</v>
      </c>
      <c r="F16" s="101">
        <f t="shared" si="0"/>
        <v>-2.6179823754581388E-2</v>
      </c>
      <c r="G16" s="121"/>
      <c r="H16" s="101">
        <f t="shared" ref="H16:H79" si="9">E16*F16</f>
        <v>0.2714185342267143</v>
      </c>
      <c r="I16" s="101">
        <f t="shared" ref="I16:I79" si="10">E16*E16</f>
        <v>107.48443170271447</v>
      </c>
      <c r="J16" s="101">
        <f t="shared" ref="J16:J79" si="11">F16*F16</f>
        <v>6.8538317182094389E-4</v>
      </c>
      <c r="K16" s="31"/>
      <c r="L16" s="43">
        <f t="shared" ref="L16:L21" si="12">B16</f>
        <v>2</v>
      </c>
      <c r="M16" s="101">
        <f t="shared" ref="M16:M21" si="13">C16</f>
        <v>0.79285714285714293</v>
      </c>
      <c r="N16" s="135">
        <f t="shared" ref="N16:N21" si="14">$B$8+$B$7*L16</f>
        <v>0.90671450546663324</v>
      </c>
      <c r="O16" s="135"/>
      <c r="P16" s="135">
        <f t="shared" ref="P16:P79" si="15">(M16-N16)^2</f>
        <v>1.2963499020388961E-2</v>
      </c>
      <c r="Q16" s="135">
        <f t="shared" ref="Q16:Q79" si="16">N16-M16</f>
        <v>0.11385736260949031</v>
      </c>
      <c r="S16" s="52">
        <f>S15+1</f>
        <v>2</v>
      </c>
      <c r="T16" s="53">
        <v>9.99</v>
      </c>
      <c r="U16" s="53">
        <v>11.92</v>
      </c>
      <c r="V16" s="53">
        <v>14.54</v>
      </c>
      <c r="W16" s="53">
        <v>12.08</v>
      </c>
      <c r="X16" s="53">
        <v>11.65</v>
      </c>
      <c r="Y16" s="53">
        <v>10.56</v>
      </c>
      <c r="Z16" s="53">
        <v>8.7200000000000006</v>
      </c>
      <c r="AA16" s="54">
        <v>7.41</v>
      </c>
      <c r="AC16" s="20">
        <f t="shared" ref="AC16:AC38" si="17">S16</f>
        <v>2</v>
      </c>
      <c r="AD16" s="26">
        <f t="shared" ref="AD16:AE38" si="18">T16/T$15</f>
        <v>0.79285714285714293</v>
      </c>
      <c r="AE16" s="26">
        <f t="shared" si="18"/>
        <v>0.94080505130228886</v>
      </c>
      <c r="AF16" s="26">
        <f t="shared" ref="AF16:AH38" si="19">V16/V$15</f>
        <v>1.0013774104683195</v>
      </c>
      <c r="AG16" s="26">
        <f t="shared" si="19"/>
        <v>0.83656509695290859</v>
      </c>
      <c r="AH16" s="26">
        <f t="shared" si="19"/>
        <v>0.99487617421007679</v>
      </c>
      <c r="AI16" s="26">
        <f t="shared" ref="AI16:AI38" si="20">Y16/Y$15</f>
        <v>0.92794376098418274</v>
      </c>
      <c r="AJ16" s="26">
        <f t="shared" ref="AJ16:AJ25" si="21">Z16/Z$15</f>
        <v>0.92177589852008457</v>
      </c>
      <c r="AK16" s="27">
        <f t="shared" ref="AK16:AK25" si="22">AA16/AA$15</f>
        <v>0.89927184466019416</v>
      </c>
      <c r="AM16" s="52">
        <f t="shared" ref="AM16:AM38" si="23">AC16</f>
        <v>2</v>
      </c>
      <c r="AN16" s="53">
        <f t="shared" ref="AN16:AN38" si="24">($B$8+$AM16*$B$7)*T$15</f>
        <v>11.424602768879579</v>
      </c>
      <c r="AO16" s="53">
        <f t="shared" ref="AO16:AO25" si="25">($B$8+$AM16*$B$7)*U$15</f>
        <v>11.488072784262243</v>
      </c>
      <c r="AP16" s="53">
        <f t="shared" ref="AP16:AP25" si="26">($B$8+$AM16*$B$7)*V$15</f>
        <v>13.165494619375513</v>
      </c>
      <c r="AQ16" s="53">
        <f t="shared" ref="AQ16:AQ25" si="27">($B$8+$AM16*$B$7)*W$15</f>
        <v>13.092957458938184</v>
      </c>
      <c r="AR16" s="53">
        <f t="shared" ref="AR16:AR25" si="28">($B$8+$AM16*$B$7)*X$15</f>
        <v>10.617626859014276</v>
      </c>
      <c r="AS16" s="53">
        <f t="shared" ref="AS16:AS25" si="29">($B$8+$AM16*$B$7)*Y$15</f>
        <v>10.318411072210287</v>
      </c>
      <c r="AT16" s="53">
        <f t="shared" ref="AT16:AT25" si="30">($B$8+$AM16*$B$7)*Z$15</f>
        <v>8.5775192217143506</v>
      </c>
      <c r="AU16" s="54">
        <f t="shared" ref="AU16:AU25" si="31">($B$8+$AM16*$B$7)*AA$15</f>
        <v>7.4713275250450577</v>
      </c>
      <c r="AV16" s="53"/>
      <c r="AW16" s="80">
        <v>1</v>
      </c>
      <c r="AX16" s="53">
        <f>SUM(T16:T38)</f>
        <v>212.26999999999998</v>
      </c>
      <c r="AY16" s="53">
        <f>SUM(AN16:AN38)</f>
        <v>235.80668641052978</v>
      </c>
      <c r="AZ16" s="53"/>
      <c r="BA16" s="139">
        <f>AX16-AY16</f>
        <v>-23.536686410529796</v>
      </c>
      <c r="BB16" s="140">
        <f>BA16/AX16:AX16</f>
        <v>-0.11088088948287464</v>
      </c>
      <c r="BD16" s="23"/>
      <c r="BE16" s="51">
        <v>2</v>
      </c>
      <c r="BF16" s="1">
        <f>BF15-0.2</f>
        <v>9.8000000000000007</v>
      </c>
      <c r="BS16">
        <f t="shared" si="4"/>
        <v>2</v>
      </c>
      <c r="BT16">
        <f t="shared" si="5"/>
        <v>9.99</v>
      </c>
      <c r="BU16" s="19">
        <f t="shared" ref="BU16:BU38" si="32">AD16</f>
        <v>0.79285714285714293</v>
      </c>
    </row>
    <row r="17" spans="1:73" x14ac:dyDescent="0.25">
      <c r="A17" s="289"/>
      <c r="B17" s="131">
        <f t="shared" si="6"/>
        <v>3</v>
      </c>
      <c r="C17" s="132">
        <f t="shared" si="7"/>
        <v>0.70000000000000007</v>
      </c>
      <c r="D17" s="121"/>
      <c r="E17" s="101">
        <f t="shared" si="8"/>
        <v>-9.3674698795180724</v>
      </c>
      <c r="F17" s="101">
        <f t="shared" si="0"/>
        <v>-0.11903696661172425</v>
      </c>
      <c r="G17" s="121"/>
      <c r="H17" s="101">
        <f t="shared" si="9"/>
        <v>1.1150751992845254</v>
      </c>
      <c r="I17" s="101">
        <f t="shared" si="10"/>
        <v>87.749491943678336</v>
      </c>
      <c r="J17" s="101">
        <f t="shared" si="11"/>
        <v>1.4169799420120753E-2</v>
      </c>
      <c r="K17" s="31"/>
      <c r="L17" s="43">
        <f t="shared" si="12"/>
        <v>3</v>
      </c>
      <c r="M17" s="101">
        <f t="shared" si="13"/>
        <v>0.70000000000000007</v>
      </c>
      <c r="N17" s="135">
        <f t="shared" si="14"/>
        <v>0.89825752031270245</v>
      </c>
      <c r="O17" s="135"/>
      <c r="P17" s="135">
        <f t="shared" si="15"/>
        <v>3.9306044360541602E-2</v>
      </c>
      <c r="Q17" s="135">
        <f t="shared" si="16"/>
        <v>0.19825752031270238</v>
      </c>
      <c r="S17" s="52">
        <f t="shared" ref="S17:S38" si="33">S16+1</f>
        <v>3</v>
      </c>
      <c r="T17" s="53">
        <v>8.82</v>
      </c>
      <c r="U17" s="53">
        <v>11.44</v>
      </c>
      <c r="V17" s="53">
        <v>13.45</v>
      </c>
      <c r="W17" s="53">
        <v>12.31</v>
      </c>
      <c r="X17" s="53">
        <v>11.12</v>
      </c>
      <c r="Y17" s="53">
        <v>10.3</v>
      </c>
      <c r="Z17" s="53">
        <v>7.99</v>
      </c>
      <c r="AA17" s="54">
        <v>6.97</v>
      </c>
      <c r="AC17" s="20">
        <f t="shared" si="17"/>
        <v>3</v>
      </c>
      <c r="AD17" s="26">
        <f t="shared" si="18"/>
        <v>0.70000000000000007</v>
      </c>
      <c r="AE17" s="26">
        <f t="shared" si="18"/>
        <v>0.90292028413575376</v>
      </c>
      <c r="AF17" s="26">
        <f t="shared" si="19"/>
        <v>0.92630853994490359</v>
      </c>
      <c r="AG17" s="26">
        <f t="shared" si="19"/>
        <v>0.85249307479224379</v>
      </c>
      <c r="AH17" s="26">
        <f t="shared" si="19"/>
        <v>0.94961571306575565</v>
      </c>
      <c r="AI17" s="26">
        <f t="shared" si="20"/>
        <v>0.90509666080843587</v>
      </c>
      <c r="AJ17" s="26">
        <f t="shared" si="21"/>
        <v>0.84460887949260033</v>
      </c>
      <c r="AK17" s="27">
        <f t="shared" si="22"/>
        <v>0.84587378640776689</v>
      </c>
      <c r="AM17" s="52">
        <f t="shared" si="23"/>
        <v>3</v>
      </c>
      <c r="AN17" s="53">
        <f t="shared" si="24"/>
        <v>11.318044755940051</v>
      </c>
      <c r="AO17" s="53">
        <f t="shared" si="25"/>
        <v>11.380922782361941</v>
      </c>
      <c r="AP17" s="53">
        <f t="shared" si="26"/>
        <v>13.04269919494044</v>
      </c>
      <c r="AQ17" s="53">
        <f t="shared" si="27"/>
        <v>12.970838593315422</v>
      </c>
      <c r="AR17" s="53">
        <f t="shared" si="28"/>
        <v>10.518595562861746</v>
      </c>
      <c r="AS17" s="53">
        <f t="shared" si="29"/>
        <v>10.222170581158554</v>
      </c>
      <c r="AT17" s="53">
        <f t="shared" si="30"/>
        <v>8.4975161421581653</v>
      </c>
      <c r="AU17" s="54">
        <f t="shared" si="31"/>
        <v>7.4016419673766682</v>
      </c>
      <c r="AV17" s="53"/>
      <c r="AW17" s="80">
        <v>2</v>
      </c>
      <c r="AX17" s="53">
        <f>SUM(U16:U38)</f>
        <v>254.94999999999993</v>
      </c>
      <c r="AY17" s="53">
        <f>SUM(AO16:AO38)</f>
        <v>237.11672355725491</v>
      </c>
      <c r="AZ17" s="53"/>
      <c r="BA17" s="139">
        <f t="shared" ref="BA17:BA22" si="34">AX17-AY17</f>
        <v>17.833276442745017</v>
      </c>
      <c r="BB17" s="140">
        <f t="shared" ref="BB17:BB22" si="35">BA17/AX17:AX17</f>
        <v>6.9948132742675126E-2</v>
      </c>
      <c r="BD17" s="23"/>
      <c r="BE17" s="51">
        <v>3</v>
      </c>
      <c r="BF17" s="1">
        <f t="shared" ref="BF17:BF38" si="36">BF16-0.2</f>
        <v>9.6000000000000014</v>
      </c>
      <c r="BS17">
        <f t="shared" si="4"/>
        <v>3</v>
      </c>
      <c r="BT17">
        <f t="shared" si="5"/>
        <v>8.82</v>
      </c>
      <c r="BU17" s="19">
        <f t="shared" si="32"/>
        <v>0.70000000000000007</v>
      </c>
    </row>
    <row r="18" spans="1:73" x14ac:dyDescent="0.25">
      <c r="A18" s="289"/>
      <c r="B18" s="131">
        <f t="shared" si="6"/>
        <v>4</v>
      </c>
      <c r="C18" s="132">
        <f t="shared" si="7"/>
        <v>0.74206349206349209</v>
      </c>
      <c r="D18" s="121"/>
      <c r="E18" s="101">
        <f t="shared" si="8"/>
        <v>-8.3674698795180724</v>
      </c>
      <c r="F18" s="101">
        <f t="shared" si="0"/>
        <v>-7.6973474548232224E-2</v>
      </c>
      <c r="G18" s="121"/>
      <c r="H18" s="101">
        <f t="shared" si="9"/>
        <v>0.64407322980418413</v>
      </c>
      <c r="I18" s="101">
        <f t="shared" si="10"/>
        <v>70.014552184642184</v>
      </c>
      <c r="J18" s="101">
        <f t="shared" si="11"/>
        <v>5.9249157840273537E-3</v>
      </c>
      <c r="K18" s="31"/>
      <c r="L18" s="43">
        <f t="shared" si="12"/>
        <v>4</v>
      </c>
      <c r="M18" s="101">
        <f t="shared" si="13"/>
        <v>0.74206349206349209</v>
      </c>
      <c r="N18" s="135">
        <f t="shared" si="14"/>
        <v>0.88980053515877167</v>
      </c>
      <c r="O18" s="135"/>
      <c r="P18" s="135">
        <f t="shared" si="15"/>
        <v>2.1826233902536494E-2</v>
      </c>
      <c r="Q18" s="135">
        <f t="shared" si="16"/>
        <v>0.14773704309527957</v>
      </c>
      <c r="S18" s="52">
        <f t="shared" si="33"/>
        <v>4</v>
      </c>
      <c r="T18" s="53">
        <v>9.35</v>
      </c>
      <c r="U18" s="53">
        <v>11.45</v>
      </c>
      <c r="V18" s="53">
        <v>13.24</v>
      </c>
      <c r="W18" s="53">
        <v>12.28</v>
      </c>
      <c r="X18" s="53">
        <v>10.64</v>
      </c>
      <c r="Y18" s="53">
        <v>9.7100000000000009</v>
      </c>
      <c r="Z18" s="53">
        <v>7.88</v>
      </c>
      <c r="AA18" s="54">
        <v>7.5</v>
      </c>
      <c r="AC18" s="20">
        <f t="shared" si="17"/>
        <v>4</v>
      </c>
      <c r="AD18" s="26">
        <f t="shared" si="18"/>
        <v>0.74206349206349209</v>
      </c>
      <c r="AE18" s="26">
        <f t="shared" si="18"/>
        <v>0.90370955011838983</v>
      </c>
      <c r="AF18" s="26">
        <f t="shared" si="19"/>
        <v>0.91184573002754821</v>
      </c>
      <c r="AG18" s="26">
        <f t="shared" si="19"/>
        <v>0.85041551246537395</v>
      </c>
      <c r="AH18" s="26">
        <f t="shared" si="19"/>
        <v>0.90862510674637065</v>
      </c>
      <c r="AI18" s="26">
        <f t="shared" si="20"/>
        <v>0.85325131810193322</v>
      </c>
      <c r="AJ18" s="26">
        <f t="shared" si="21"/>
        <v>0.83298097251585612</v>
      </c>
      <c r="AK18" s="27">
        <f t="shared" si="22"/>
        <v>0.91019417475728148</v>
      </c>
      <c r="AM18" s="52">
        <f t="shared" si="23"/>
        <v>4</v>
      </c>
      <c r="AN18" s="53">
        <f t="shared" si="24"/>
        <v>11.211486743000522</v>
      </c>
      <c r="AO18" s="53">
        <f t="shared" si="25"/>
        <v>11.273772780461638</v>
      </c>
      <c r="AP18" s="53">
        <f t="shared" si="26"/>
        <v>12.919903770505364</v>
      </c>
      <c r="AQ18" s="53">
        <f t="shared" si="27"/>
        <v>12.848719727692663</v>
      </c>
      <c r="AR18" s="53">
        <f t="shared" si="28"/>
        <v>10.419564266709218</v>
      </c>
      <c r="AS18" s="53">
        <f t="shared" si="29"/>
        <v>10.125930090106822</v>
      </c>
      <c r="AT18" s="53">
        <f t="shared" si="30"/>
        <v>8.4175130626019801</v>
      </c>
      <c r="AU18" s="54">
        <f t="shared" si="31"/>
        <v>7.3319564097082788</v>
      </c>
      <c r="AV18" s="53"/>
      <c r="AW18" s="80">
        <v>3</v>
      </c>
      <c r="AX18" s="53">
        <f>SUM(V16:V38)</f>
        <v>275.68999999999994</v>
      </c>
      <c r="AY18" s="53">
        <f>SUM(AP16:AP38)</f>
        <v>271.73913386356287</v>
      </c>
      <c r="AZ18" s="53"/>
      <c r="BA18" s="139">
        <f t="shared" si="34"/>
        <v>3.950866136437071</v>
      </c>
      <c r="BB18" s="140">
        <f t="shared" si="35"/>
        <v>1.4330828598922964E-2</v>
      </c>
      <c r="BD18" s="23"/>
      <c r="BE18" s="51">
        <v>4</v>
      </c>
      <c r="BF18" s="1">
        <f t="shared" si="36"/>
        <v>9.4000000000000021</v>
      </c>
      <c r="BS18">
        <f t="shared" si="4"/>
        <v>4</v>
      </c>
      <c r="BT18">
        <f t="shared" si="5"/>
        <v>9.35</v>
      </c>
      <c r="BU18" s="19">
        <f t="shared" si="32"/>
        <v>0.74206349206349209</v>
      </c>
    </row>
    <row r="19" spans="1:73" x14ac:dyDescent="0.25">
      <c r="A19" s="289"/>
      <c r="B19" s="131">
        <f t="shared" si="6"/>
        <v>5</v>
      </c>
      <c r="C19" s="132">
        <f t="shared" si="7"/>
        <v>0.6873015873015873</v>
      </c>
      <c r="D19" s="121"/>
      <c r="E19" s="101">
        <f t="shared" si="8"/>
        <v>-7.3674698795180724</v>
      </c>
      <c r="F19" s="101">
        <f t="shared" si="0"/>
        <v>-0.13173537931013701</v>
      </c>
      <c r="G19" s="121"/>
      <c r="H19" s="101">
        <f t="shared" si="9"/>
        <v>0.97055643913432266</v>
      </c>
      <c r="I19" s="101">
        <f t="shared" si="10"/>
        <v>54.279612425606039</v>
      </c>
      <c r="J19" s="101">
        <f t="shared" si="11"/>
        <v>1.7354210161985673E-2</v>
      </c>
      <c r="K19" s="31"/>
      <c r="L19" s="43">
        <f t="shared" si="12"/>
        <v>5</v>
      </c>
      <c r="M19" s="101">
        <f t="shared" si="13"/>
        <v>0.6873015873015873</v>
      </c>
      <c r="N19" s="135">
        <f t="shared" si="14"/>
        <v>0.88134355000484088</v>
      </c>
      <c r="O19" s="135"/>
      <c r="P19" s="135">
        <f t="shared" si="15"/>
        <v>3.7652283289730852E-2</v>
      </c>
      <c r="Q19" s="135">
        <f t="shared" si="16"/>
        <v>0.19404196270325358</v>
      </c>
      <c r="S19" s="52">
        <f t="shared" si="33"/>
        <v>5</v>
      </c>
      <c r="T19" s="53">
        <v>8.66</v>
      </c>
      <c r="U19" s="53">
        <v>11.97</v>
      </c>
      <c r="V19" s="53">
        <v>13.65</v>
      </c>
      <c r="W19" s="53">
        <v>12.52</v>
      </c>
      <c r="X19" s="53">
        <v>10.94</v>
      </c>
      <c r="Y19" s="53">
        <v>10.16</v>
      </c>
      <c r="Z19" s="53">
        <v>7.8</v>
      </c>
      <c r="AA19" s="54">
        <v>7.38</v>
      </c>
      <c r="AC19" s="20">
        <f t="shared" si="17"/>
        <v>5</v>
      </c>
      <c r="AD19" s="26">
        <f t="shared" si="18"/>
        <v>0.6873015873015873</v>
      </c>
      <c r="AE19" s="26">
        <f t="shared" si="18"/>
        <v>0.94475138121546964</v>
      </c>
      <c r="AF19" s="26">
        <f t="shared" si="19"/>
        <v>0.94008264462809921</v>
      </c>
      <c r="AG19" s="26">
        <f t="shared" si="19"/>
        <v>0.86703601108033246</v>
      </c>
      <c r="AH19" s="26">
        <f t="shared" si="19"/>
        <v>0.93424423569598625</v>
      </c>
      <c r="AI19" s="26">
        <f t="shared" si="20"/>
        <v>0.89279437609841827</v>
      </c>
      <c r="AJ19" s="26">
        <f t="shared" si="21"/>
        <v>0.82452431289640582</v>
      </c>
      <c r="AK19" s="27">
        <f t="shared" si="22"/>
        <v>0.89563106796116498</v>
      </c>
      <c r="AM19" s="52">
        <f t="shared" si="23"/>
        <v>5</v>
      </c>
      <c r="AN19" s="53">
        <f t="shared" si="24"/>
        <v>11.104928730060994</v>
      </c>
      <c r="AO19" s="53">
        <f t="shared" si="25"/>
        <v>11.166622778561335</v>
      </c>
      <c r="AP19" s="53">
        <f t="shared" si="26"/>
        <v>12.797108346070289</v>
      </c>
      <c r="AQ19" s="53">
        <f t="shared" si="27"/>
        <v>12.726600862069901</v>
      </c>
      <c r="AR19" s="53">
        <f t="shared" si="28"/>
        <v>10.320532970556688</v>
      </c>
      <c r="AS19" s="53">
        <f t="shared" si="29"/>
        <v>10.029689599055089</v>
      </c>
      <c r="AT19" s="53">
        <f t="shared" si="30"/>
        <v>8.3375099830457948</v>
      </c>
      <c r="AU19" s="54">
        <f t="shared" si="31"/>
        <v>7.2622708520398893</v>
      </c>
      <c r="AV19" s="53"/>
      <c r="AW19" s="80">
        <v>4</v>
      </c>
      <c r="AX19" s="53">
        <f>SUM(W16:W38)</f>
        <v>251.04000000000002</v>
      </c>
      <c r="AY19" s="53">
        <f>SUM(AQ16:AQ38)</f>
        <v>270.24194855301982</v>
      </c>
      <c r="AZ19" s="53"/>
      <c r="BA19" s="139">
        <f t="shared" si="34"/>
        <v>-19.201948553019804</v>
      </c>
      <c r="BB19" s="140">
        <f t="shared" si="35"/>
        <v>-7.6489597486535221E-2</v>
      </c>
      <c r="BD19" s="23"/>
      <c r="BE19" s="51">
        <v>5</v>
      </c>
      <c r="BF19" s="1">
        <f t="shared" si="36"/>
        <v>9.2000000000000028</v>
      </c>
      <c r="BS19">
        <f t="shared" si="4"/>
        <v>5</v>
      </c>
      <c r="BT19">
        <f t="shared" si="5"/>
        <v>8.66</v>
      </c>
      <c r="BU19" s="19">
        <f t="shared" si="32"/>
        <v>0.6873015873015873</v>
      </c>
    </row>
    <row r="20" spans="1:73" x14ac:dyDescent="0.25">
      <c r="A20" s="289"/>
      <c r="B20" s="131">
        <f t="shared" si="6"/>
        <v>6</v>
      </c>
      <c r="C20" s="132">
        <f t="shared" si="7"/>
        <v>0.73968253968253972</v>
      </c>
      <c r="D20" s="121"/>
      <c r="E20" s="101">
        <f t="shared" si="8"/>
        <v>-6.3674698795180724</v>
      </c>
      <c r="F20" s="101">
        <f t="shared" si="0"/>
        <v>-7.9354426929184596E-2</v>
      </c>
      <c r="G20" s="121"/>
      <c r="H20" s="101">
        <f t="shared" si="9"/>
        <v>0.50528692327800073</v>
      </c>
      <c r="I20" s="101">
        <f t="shared" si="10"/>
        <v>40.544672666569895</v>
      </c>
      <c r="J20" s="101">
        <f t="shared" si="11"/>
        <v>6.2971250732592977E-3</v>
      </c>
      <c r="K20" s="31"/>
      <c r="L20" s="43">
        <f t="shared" si="12"/>
        <v>6</v>
      </c>
      <c r="M20" s="101">
        <f t="shared" si="13"/>
        <v>0.73968253968253972</v>
      </c>
      <c r="N20" s="135">
        <f t="shared" si="14"/>
        <v>0.8728865648509101</v>
      </c>
      <c r="O20" s="135"/>
      <c r="P20" s="135">
        <f t="shared" si="15"/>
        <v>1.7743312321055849E-2</v>
      </c>
      <c r="Q20" s="135">
        <f t="shared" si="16"/>
        <v>0.13320402516837038</v>
      </c>
      <c r="S20" s="52">
        <f t="shared" si="33"/>
        <v>6</v>
      </c>
      <c r="T20" s="53">
        <v>9.32</v>
      </c>
      <c r="U20" s="53">
        <v>13.14</v>
      </c>
      <c r="V20" s="53">
        <v>13.04</v>
      </c>
      <c r="W20" s="53">
        <v>10.62</v>
      </c>
      <c r="X20" s="53">
        <v>10.32</v>
      </c>
      <c r="Y20" s="53">
        <v>9.92</v>
      </c>
      <c r="Z20" s="53">
        <v>8.15</v>
      </c>
      <c r="AA20" s="54">
        <v>7.23</v>
      </c>
      <c r="AC20" s="20">
        <f t="shared" si="17"/>
        <v>6</v>
      </c>
      <c r="AD20" s="26">
        <f t="shared" si="18"/>
        <v>0.73968253968253972</v>
      </c>
      <c r="AE20" s="26">
        <f t="shared" si="18"/>
        <v>1.0370955011838989</v>
      </c>
      <c r="AF20" s="26">
        <f t="shared" si="19"/>
        <v>0.89807162534435259</v>
      </c>
      <c r="AG20" s="26">
        <f t="shared" si="19"/>
        <v>0.73545706371191133</v>
      </c>
      <c r="AH20" s="26">
        <f t="shared" si="19"/>
        <v>0.88129803586678046</v>
      </c>
      <c r="AI20" s="26">
        <f t="shared" si="20"/>
        <v>0.8717047451669595</v>
      </c>
      <c r="AJ20" s="26">
        <f t="shared" si="21"/>
        <v>0.86152219873150104</v>
      </c>
      <c r="AK20" s="27">
        <f t="shared" si="22"/>
        <v>0.87742718446601942</v>
      </c>
      <c r="AM20" s="52">
        <f t="shared" si="23"/>
        <v>6</v>
      </c>
      <c r="AN20" s="53">
        <f t="shared" si="24"/>
        <v>10.998370717121468</v>
      </c>
      <c r="AO20" s="53">
        <f t="shared" si="25"/>
        <v>11.05947277666103</v>
      </c>
      <c r="AP20" s="53">
        <f t="shared" si="26"/>
        <v>12.674312921635215</v>
      </c>
      <c r="AQ20" s="53">
        <f t="shared" si="27"/>
        <v>12.604481996447142</v>
      </c>
      <c r="AR20" s="53">
        <f t="shared" si="28"/>
        <v>10.221501674404157</v>
      </c>
      <c r="AS20" s="53">
        <f t="shared" si="29"/>
        <v>9.9334491080033569</v>
      </c>
      <c r="AT20" s="53">
        <f t="shared" si="30"/>
        <v>8.2575069034896096</v>
      </c>
      <c r="AU20" s="54">
        <f t="shared" si="31"/>
        <v>7.192585294371499</v>
      </c>
      <c r="AV20" s="53"/>
      <c r="AW20" s="80">
        <v>5</v>
      </c>
      <c r="AX20" s="53">
        <f>SUM(X16:X38)</f>
        <v>226.08</v>
      </c>
      <c r="AY20" s="53">
        <f>SUM(AR16:AR38)</f>
        <v>219.15049983073837</v>
      </c>
      <c r="AZ20" s="53"/>
      <c r="BA20" s="139">
        <f t="shared" si="34"/>
        <v>6.9295001692616438</v>
      </c>
      <c r="BB20" s="140">
        <f t="shared" si="35"/>
        <v>3.0650655384207554E-2</v>
      </c>
      <c r="BD20" s="23"/>
      <c r="BE20" s="51">
        <v>6</v>
      </c>
      <c r="BF20" s="1">
        <f t="shared" si="36"/>
        <v>9.0000000000000036</v>
      </c>
      <c r="BS20">
        <f t="shared" si="4"/>
        <v>6</v>
      </c>
      <c r="BT20">
        <f t="shared" si="5"/>
        <v>9.32</v>
      </c>
      <c r="BU20" s="19">
        <f t="shared" si="32"/>
        <v>0.73968253968253972</v>
      </c>
    </row>
    <row r="21" spans="1:73" x14ac:dyDescent="0.25">
      <c r="A21" s="289"/>
      <c r="B21" s="131">
        <f t="shared" si="6"/>
        <v>7</v>
      </c>
      <c r="C21" s="132">
        <f t="shared" si="7"/>
        <v>0.696031746031746</v>
      </c>
      <c r="D21" s="121"/>
      <c r="E21" s="101">
        <f t="shared" si="8"/>
        <v>-5.3674698795180724</v>
      </c>
      <c r="F21" s="101">
        <f t="shared" si="0"/>
        <v>-0.12300522057997831</v>
      </c>
      <c r="G21" s="121"/>
      <c r="H21" s="101">
        <f t="shared" si="9"/>
        <v>0.66022681648651016</v>
      </c>
      <c r="I21" s="101">
        <f t="shared" si="10"/>
        <v>28.80973290753375</v>
      </c>
      <c r="J21" s="101">
        <f t="shared" si="11"/>
        <v>1.513028428992912E-2</v>
      </c>
      <c r="K21" s="31"/>
      <c r="L21" s="43">
        <f t="shared" si="12"/>
        <v>7</v>
      </c>
      <c r="M21" s="101">
        <f t="shared" si="13"/>
        <v>0.696031746031746</v>
      </c>
      <c r="N21" s="135">
        <f t="shared" si="14"/>
        <v>0.86442957969697931</v>
      </c>
      <c r="O21" s="135"/>
      <c r="P21" s="135">
        <f t="shared" si="15"/>
        <v>2.8357830383143583E-2</v>
      </c>
      <c r="Q21" s="135">
        <f t="shared" si="16"/>
        <v>0.16839783366523331</v>
      </c>
      <c r="S21" s="52">
        <f t="shared" si="33"/>
        <v>7</v>
      </c>
      <c r="T21" s="53">
        <v>8.77</v>
      </c>
      <c r="U21" s="53">
        <v>12.24</v>
      </c>
      <c r="V21" s="53">
        <v>13.37</v>
      </c>
      <c r="W21" s="53">
        <v>12.43</v>
      </c>
      <c r="X21" s="53">
        <v>10.75</v>
      </c>
      <c r="Y21" s="53">
        <v>9.83</v>
      </c>
      <c r="Z21" s="53">
        <v>8.3800000000000008</v>
      </c>
      <c r="AA21" s="54">
        <v>7.33</v>
      </c>
      <c r="AC21" s="20">
        <f t="shared" si="17"/>
        <v>7</v>
      </c>
      <c r="AD21" s="26">
        <f t="shared" si="18"/>
        <v>0.696031746031746</v>
      </c>
      <c r="AE21" s="26">
        <f t="shared" si="18"/>
        <v>0.96606156274664567</v>
      </c>
      <c r="AF21" s="26">
        <f t="shared" si="19"/>
        <v>0.92079889807162529</v>
      </c>
      <c r="AG21" s="26">
        <f t="shared" si="19"/>
        <v>0.86080332409972304</v>
      </c>
      <c r="AH21" s="26">
        <f t="shared" si="19"/>
        <v>0.91801878736122966</v>
      </c>
      <c r="AI21" s="26">
        <f t="shared" si="20"/>
        <v>0.86379613356766249</v>
      </c>
      <c r="AJ21" s="26">
        <f t="shared" si="21"/>
        <v>0.88583509513742076</v>
      </c>
      <c r="AK21" s="27">
        <f t="shared" si="22"/>
        <v>0.8895631067961165</v>
      </c>
      <c r="AM21" s="52">
        <f t="shared" si="23"/>
        <v>7</v>
      </c>
      <c r="AN21" s="53">
        <f t="shared" si="24"/>
        <v>10.891812704181939</v>
      </c>
      <c r="AO21" s="53">
        <f t="shared" si="25"/>
        <v>10.952322774760727</v>
      </c>
      <c r="AP21" s="53">
        <f t="shared" si="26"/>
        <v>12.551517497200139</v>
      </c>
      <c r="AQ21" s="53">
        <f t="shared" si="27"/>
        <v>12.48236313082438</v>
      </c>
      <c r="AR21" s="53">
        <f t="shared" si="28"/>
        <v>10.122470378251629</v>
      </c>
      <c r="AS21" s="53">
        <f t="shared" si="29"/>
        <v>9.8372086169516244</v>
      </c>
      <c r="AT21" s="53">
        <f t="shared" si="30"/>
        <v>8.1775038239334243</v>
      </c>
      <c r="AU21" s="54">
        <f t="shared" si="31"/>
        <v>7.1228997367031095</v>
      </c>
      <c r="AV21" s="53"/>
      <c r="AW21" s="80">
        <v>6</v>
      </c>
      <c r="AX21" s="53">
        <f>SUM(Y16:Y38)</f>
        <v>215.06</v>
      </c>
      <c r="AY21" s="53">
        <f>SUM(AS16:AS38)</f>
        <v>212.97461042474836</v>
      </c>
      <c r="AZ21" s="53"/>
      <c r="BA21" s="139">
        <f t="shared" si="34"/>
        <v>2.0853895752516394</v>
      </c>
      <c r="BB21" s="140">
        <f t="shared" si="35"/>
        <v>9.6967803182908922E-3</v>
      </c>
      <c r="BD21" s="23"/>
      <c r="BE21" s="51">
        <v>7</v>
      </c>
      <c r="BF21" s="1">
        <f t="shared" si="36"/>
        <v>8.8000000000000043</v>
      </c>
      <c r="BS21">
        <f t="shared" si="4"/>
        <v>7</v>
      </c>
      <c r="BT21">
        <f t="shared" si="5"/>
        <v>8.77</v>
      </c>
      <c r="BU21" s="19">
        <f t="shared" si="32"/>
        <v>0.696031746031746</v>
      </c>
    </row>
    <row r="22" spans="1:73" ht="15.75" thickBot="1" x14ac:dyDescent="0.3">
      <c r="A22" s="289"/>
      <c r="B22" s="131">
        <f t="shared" si="6"/>
        <v>8</v>
      </c>
      <c r="C22" s="132">
        <f t="shared" si="7"/>
        <v>0.72698412698412707</v>
      </c>
      <c r="D22" s="121"/>
      <c r="E22" s="101">
        <f t="shared" si="8"/>
        <v>-4.3674698795180724</v>
      </c>
      <c r="F22" s="101">
        <f t="shared" si="0"/>
        <v>-9.2052839627597249E-2</v>
      </c>
      <c r="G22" s="121"/>
      <c r="H22" s="101">
        <f t="shared" si="9"/>
        <v>0.40203800439763859</v>
      </c>
      <c r="I22" s="101">
        <f t="shared" si="10"/>
        <v>19.074793148497605</v>
      </c>
      <c r="J22" s="101">
        <f t="shared" si="11"/>
        <v>8.4737252835041382E-3</v>
      </c>
      <c r="K22" s="31"/>
      <c r="L22" s="43">
        <f t="shared" ref="L22:L85" si="37">B22</f>
        <v>8</v>
      </c>
      <c r="M22" s="101">
        <f t="shared" ref="M22:M85" si="38">C22</f>
        <v>0.72698412698412707</v>
      </c>
      <c r="N22" s="135">
        <f t="shared" ref="N22:N85" si="39">$B$8+$B$7*L22</f>
        <v>0.85597259454304853</v>
      </c>
      <c r="O22" s="135"/>
      <c r="P22" s="135">
        <f t="shared" si="15"/>
        <v>1.6638024763198932E-2</v>
      </c>
      <c r="Q22" s="135">
        <f t="shared" si="16"/>
        <v>0.12898846755892146</v>
      </c>
      <c r="S22" s="52">
        <f t="shared" si="33"/>
        <v>8</v>
      </c>
      <c r="T22" s="53">
        <v>9.16</v>
      </c>
      <c r="U22" s="53">
        <v>12.09</v>
      </c>
      <c r="V22" s="53">
        <v>12.91</v>
      </c>
      <c r="W22" s="53">
        <v>11.89</v>
      </c>
      <c r="X22" s="53">
        <v>10.19</v>
      </c>
      <c r="Y22" s="53">
        <v>10.88</v>
      </c>
      <c r="Z22" s="53">
        <v>7.35</v>
      </c>
      <c r="AA22" s="54">
        <v>6.81</v>
      </c>
      <c r="AC22" s="20">
        <f t="shared" si="17"/>
        <v>8</v>
      </c>
      <c r="AD22" s="26">
        <f t="shared" si="18"/>
        <v>0.72698412698412707</v>
      </c>
      <c r="AE22" s="26">
        <f t="shared" si="18"/>
        <v>0.95422257300710334</v>
      </c>
      <c r="AF22" s="26">
        <f t="shared" si="19"/>
        <v>0.8891184573002755</v>
      </c>
      <c r="AG22" s="26">
        <f t="shared" si="19"/>
        <v>0.82340720221606656</v>
      </c>
      <c r="AH22" s="26">
        <f t="shared" si="19"/>
        <v>0.87019641332194697</v>
      </c>
      <c r="AI22" s="26">
        <f t="shared" si="20"/>
        <v>0.95606326889279436</v>
      </c>
      <c r="AJ22" s="26">
        <f t="shared" si="21"/>
        <v>0.7769556025369978</v>
      </c>
      <c r="AK22" s="27">
        <f t="shared" si="22"/>
        <v>0.82645631067961156</v>
      </c>
      <c r="AM22" s="52">
        <f t="shared" si="23"/>
        <v>8</v>
      </c>
      <c r="AN22" s="53">
        <f t="shared" si="24"/>
        <v>10.785254691242411</v>
      </c>
      <c r="AO22" s="53">
        <f t="shared" si="25"/>
        <v>10.845172772860424</v>
      </c>
      <c r="AP22" s="53">
        <f t="shared" si="26"/>
        <v>12.428722072765064</v>
      </c>
      <c r="AQ22" s="53">
        <f t="shared" si="27"/>
        <v>12.36024426520162</v>
      </c>
      <c r="AR22" s="53">
        <f t="shared" si="28"/>
        <v>10.023439082099099</v>
      </c>
      <c r="AS22" s="53">
        <f t="shared" si="29"/>
        <v>9.7409681258998937</v>
      </c>
      <c r="AT22" s="53">
        <f t="shared" si="30"/>
        <v>8.0975007443772391</v>
      </c>
      <c r="AU22" s="54">
        <f t="shared" si="31"/>
        <v>7.05321417903472</v>
      </c>
      <c r="AV22" s="53"/>
      <c r="AW22" s="82">
        <v>7</v>
      </c>
      <c r="AX22" s="55">
        <f>SUM(Z16:Z38)</f>
        <v>164.73999999999995</v>
      </c>
      <c r="AY22" s="55">
        <f>SUM(AT16:AT36)</f>
        <v>163.32725694920245</v>
      </c>
      <c r="AZ22" s="55"/>
      <c r="BA22" s="141">
        <f t="shared" si="34"/>
        <v>1.4127430507975021</v>
      </c>
      <c r="BB22" s="142">
        <f t="shared" si="35"/>
        <v>8.5755921500394704E-3</v>
      </c>
      <c r="BD22" s="23"/>
      <c r="BE22" s="51">
        <v>8</v>
      </c>
      <c r="BF22" s="1">
        <f t="shared" si="36"/>
        <v>8.600000000000005</v>
      </c>
      <c r="BS22">
        <f t="shared" si="4"/>
        <v>8</v>
      </c>
      <c r="BT22">
        <f t="shared" si="5"/>
        <v>9.16</v>
      </c>
      <c r="BU22" s="19">
        <f t="shared" si="32"/>
        <v>0.72698412698412707</v>
      </c>
    </row>
    <row r="23" spans="1:73" ht="15.75" thickTop="1" x14ac:dyDescent="0.25">
      <c r="A23" s="289"/>
      <c r="B23" s="131">
        <f t="shared" si="6"/>
        <v>9</v>
      </c>
      <c r="C23" s="132">
        <f t="shared" si="7"/>
        <v>0.56507936507936507</v>
      </c>
      <c r="D23" s="121"/>
      <c r="E23" s="101">
        <f t="shared" si="8"/>
        <v>-3.3674698795180724</v>
      </c>
      <c r="F23" s="101">
        <f t="shared" si="0"/>
        <v>-0.25395760153235925</v>
      </c>
      <c r="G23" s="121"/>
      <c r="H23" s="101">
        <f t="shared" si="9"/>
        <v>0.85519457383487241</v>
      </c>
      <c r="I23" s="101">
        <f t="shared" si="10"/>
        <v>11.339853389461462</v>
      </c>
      <c r="J23" s="101">
        <f t="shared" si="11"/>
        <v>6.4494463376068553E-2</v>
      </c>
      <c r="K23" s="31"/>
      <c r="L23" s="43">
        <f t="shared" si="37"/>
        <v>9</v>
      </c>
      <c r="M23" s="101">
        <f t="shared" si="38"/>
        <v>0.56507936507936507</v>
      </c>
      <c r="N23" s="135">
        <f t="shared" si="39"/>
        <v>0.84751560938911774</v>
      </c>
      <c r="O23" s="135"/>
      <c r="P23" s="135">
        <f t="shared" si="15"/>
        <v>7.9770232099798291E-2</v>
      </c>
      <c r="Q23" s="135">
        <f t="shared" si="16"/>
        <v>0.28243624430975267</v>
      </c>
      <c r="S23" s="52">
        <f t="shared" si="33"/>
        <v>9</v>
      </c>
      <c r="T23" s="53">
        <v>7.12</v>
      </c>
      <c r="U23" s="53">
        <v>10.57</v>
      </c>
      <c r="V23" s="53">
        <v>12.72</v>
      </c>
      <c r="W23" s="53">
        <v>12.01</v>
      </c>
      <c r="X23" s="53">
        <v>9.4700000000000006</v>
      </c>
      <c r="Y23" s="53">
        <v>9.02</v>
      </c>
      <c r="Z23" s="53">
        <v>8.1999999999999993</v>
      </c>
      <c r="AA23" s="54">
        <v>6.81</v>
      </c>
      <c r="AC23" s="20">
        <f t="shared" si="17"/>
        <v>9</v>
      </c>
      <c r="AD23" s="26">
        <f t="shared" si="18"/>
        <v>0.56507936507936507</v>
      </c>
      <c r="AE23" s="26">
        <f t="shared" si="18"/>
        <v>0.83425414364640882</v>
      </c>
      <c r="AF23" s="26">
        <f t="shared" si="19"/>
        <v>0.87603305785123975</v>
      </c>
      <c r="AG23" s="26">
        <f t="shared" si="19"/>
        <v>0.8317174515235457</v>
      </c>
      <c r="AH23" s="26">
        <f t="shared" si="19"/>
        <v>0.80871050384286935</v>
      </c>
      <c r="AI23" s="26">
        <f t="shared" si="20"/>
        <v>0.7926186291739894</v>
      </c>
      <c r="AJ23" s="26">
        <f t="shared" si="21"/>
        <v>0.86680761099365733</v>
      </c>
      <c r="AK23" s="27">
        <f t="shared" si="22"/>
        <v>0.82645631067961156</v>
      </c>
      <c r="AM23" s="52">
        <f t="shared" si="23"/>
        <v>9</v>
      </c>
      <c r="AN23" s="53">
        <f t="shared" si="24"/>
        <v>10.678696678302883</v>
      </c>
      <c r="AO23" s="53">
        <f t="shared" si="25"/>
        <v>10.738022770960121</v>
      </c>
      <c r="AP23" s="53">
        <f t="shared" si="26"/>
        <v>12.30592664832999</v>
      </c>
      <c r="AQ23" s="53">
        <f t="shared" si="27"/>
        <v>12.238125399578859</v>
      </c>
      <c r="AR23" s="53">
        <f t="shared" si="28"/>
        <v>9.9244077859465687</v>
      </c>
      <c r="AS23" s="53">
        <f t="shared" si="29"/>
        <v>9.6447276348481612</v>
      </c>
      <c r="AT23" s="53">
        <f t="shared" si="30"/>
        <v>8.0174976648210539</v>
      </c>
      <c r="AU23" s="54">
        <f t="shared" si="31"/>
        <v>6.9835286213663306</v>
      </c>
      <c r="AV23" s="53"/>
      <c r="AW23" s="53"/>
      <c r="AX23" s="53"/>
      <c r="AY23" s="53"/>
      <c r="AZ23" s="53"/>
      <c r="BD23" s="23"/>
      <c r="BE23" s="51">
        <v>9</v>
      </c>
      <c r="BF23" s="1">
        <f t="shared" si="36"/>
        <v>8.4000000000000057</v>
      </c>
      <c r="BS23">
        <f t="shared" si="4"/>
        <v>9</v>
      </c>
      <c r="BT23">
        <f t="shared" si="5"/>
        <v>7.12</v>
      </c>
      <c r="BU23" s="19">
        <f t="shared" si="32"/>
        <v>0.56507936507936507</v>
      </c>
    </row>
    <row r="24" spans="1:73" x14ac:dyDescent="0.25">
      <c r="A24" s="78"/>
      <c r="B24" s="113">
        <f t="shared" si="6"/>
        <v>10</v>
      </c>
      <c r="C24" s="79">
        <f t="shared" si="7"/>
        <v>0.76746031746031751</v>
      </c>
      <c r="D24" s="23"/>
      <c r="E24" s="53">
        <f t="shared" si="8"/>
        <v>-2.3674698795180724</v>
      </c>
      <c r="F24" s="53">
        <f t="shared" si="0"/>
        <v>-5.1576649151406806E-2</v>
      </c>
      <c r="G24" s="23"/>
      <c r="H24" s="53">
        <f t="shared" si="9"/>
        <v>0.12210616335242697</v>
      </c>
      <c r="I24" s="53">
        <f t="shared" si="10"/>
        <v>5.6049136304253162</v>
      </c>
      <c r="J24" s="53">
        <f t="shared" si="11"/>
        <v>2.6601507376873123E-3</v>
      </c>
      <c r="K24" s="31"/>
      <c r="L24" s="43">
        <f t="shared" si="37"/>
        <v>10</v>
      </c>
      <c r="M24" s="101">
        <f t="shared" si="38"/>
        <v>0.76746031746031751</v>
      </c>
      <c r="N24" s="135">
        <f t="shared" si="39"/>
        <v>0.83905862423518696</v>
      </c>
      <c r="O24" s="135"/>
      <c r="P24" s="135">
        <f t="shared" si="15"/>
        <v>5.126317533028316E-3</v>
      </c>
      <c r="Q24" s="135">
        <f t="shared" si="16"/>
        <v>7.1598306774869447E-2</v>
      </c>
      <c r="S24" s="52">
        <f t="shared" si="33"/>
        <v>10</v>
      </c>
      <c r="T24" s="53">
        <v>9.67</v>
      </c>
      <c r="U24" s="53">
        <v>11.07</v>
      </c>
      <c r="V24" s="53">
        <v>12.2</v>
      </c>
      <c r="W24" s="53">
        <v>10.94</v>
      </c>
      <c r="X24" s="53">
        <v>10.61</v>
      </c>
      <c r="Y24" s="53">
        <v>9.69</v>
      </c>
      <c r="Z24" s="53">
        <v>8.35</v>
      </c>
      <c r="AA24" s="54">
        <v>7.57</v>
      </c>
      <c r="AC24" s="20">
        <f t="shared" si="17"/>
        <v>10</v>
      </c>
      <c r="AD24" s="26">
        <f t="shared" si="18"/>
        <v>0.76746031746031751</v>
      </c>
      <c r="AE24" s="26">
        <f t="shared" si="18"/>
        <v>0.87371744277821628</v>
      </c>
      <c r="AF24" s="26">
        <f t="shared" si="19"/>
        <v>0.84022038567493107</v>
      </c>
      <c r="AG24" s="26">
        <f t="shared" si="19"/>
        <v>0.75761772853185594</v>
      </c>
      <c r="AH24" s="26">
        <f t="shared" si="19"/>
        <v>0.90606319385140899</v>
      </c>
      <c r="AI24" s="26">
        <f t="shared" si="20"/>
        <v>0.8514938488576449</v>
      </c>
      <c r="AJ24" s="26">
        <f t="shared" si="21"/>
        <v>0.88266384778012674</v>
      </c>
      <c r="AK24" s="27">
        <f t="shared" si="22"/>
        <v>0.9186893203883495</v>
      </c>
      <c r="AM24" s="52">
        <f t="shared" si="23"/>
        <v>10</v>
      </c>
      <c r="AN24" s="53">
        <f t="shared" si="24"/>
        <v>10.572138665363356</v>
      </c>
      <c r="AO24" s="53">
        <f t="shared" si="25"/>
        <v>10.630872769059819</v>
      </c>
      <c r="AP24" s="53">
        <f t="shared" si="26"/>
        <v>12.183131223894915</v>
      </c>
      <c r="AQ24" s="53">
        <f t="shared" si="27"/>
        <v>12.116006533956099</v>
      </c>
      <c r="AR24" s="53">
        <f t="shared" si="28"/>
        <v>9.8253764897940403</v>
      </c>
      <c r="AS24" s="53">
        <f t="shared" si="29"/>
        <v>9.5484871437964287</v>
      </c>
      <c r="AT24" s="53">
        <f t="shared" si="30"/>
        <v>7.9374945852648695</v>
      </c>
      <c r="AU24" s="54">
        <f t="shared" si="31"/>
        <v>6.9138430636979411</v>
      </c>
      <c r="AV24" s="53"/>
      <c r="AW24" s="53"/>
      <c r="AX24" s="53"/>
      <c r="AY24" s="53"/>
      <c r="AZ24" s="53"/>
      <c r="BD24" s="23"/>
      <c r="BE24" s="51">
        <v>10</v>
      </c>
      <c r="BF24" s="1">
        <f t="shared" si="36"/>
        <v>8.2000000000000064</v>
      </c>
      <c r="BS24">
        <f t="shared" si="4"/>
        <v>10</v>
      </c>
      <c r="BT24">
        <f t="shared" si="5"/>
        <v>9.67</v>
      </c>
      <c r="BU24" s="19">
        <f t="shared" si="32"/>
        <v>0.76746031746031751</v>
      </c>
    </row>
    <row r="25" spans="1:73" x14ac:dyDescent="0.25">
      <c r="A25" s="78"/>
      <c r="B25" s="113">
        <f t="shared" si="6"/>
        <v>11</v>
      </c>
      <c r="C25" s="79">
        <f t="shared" si="7"/>
        <v>0.81111111111111123</v>
      </c>
      <c r="D25" s="23"/>
      <c r="E25" s="53">
        <f t="shared" si="8"/>
        <v>-1.3674698795180724</v>
      </c>
      <c r="F25" s="53">
        <f t="shared" si="0"/>
        <v>-7.9258555006130882E-3</v>
      </c>
      <c r="G25" s="23"/>
      <c r="H25" s="53">
        <f t="shared" si="9"/>
        <v>1.0838368666501031E-2</v>
      </c>
      <c r="I25" s="53">
        <f t="shared" si="10"/>
        <v>1.8699738713891716</v>
      </c>
      <c r="J25" s="53">
        <f t="shared" si="11"/>
        <v>6.2819185416598751E-5</v>
      </c>
      <c r="K25" s="31"/>
      <c r="L25" s="43">
        <f t="shared" si="37"/>
        <v>11</v>
      </c>
      <c r="M25" s="101">
        <f t="shared" si="38"/>
        <v>0.81111111111111123</v>
      </c>
      <c r="N25" s="135">
        <f t="shared" si="39"/>
        <v>0.83060163908125617</v>
      </c>
      <c r="O25" s="135"/>
      <c r="P25" s="135">
        <f t="shared" si="15"/>
        <v>3.7988068055500241E-4</v>
      </c>
      <c r="Q25" s="135">
        <f t="shared" si="16"/>
        <v>1.9490527970144944E-2</v>
      </c>
      <c r="S25" s="52">
        <f t="shared" si="33"/>
        <v>11</v>
      </c>
      <c r="T25" s="53">
        <v>10.220000000000001</v>
      </c>
      <c r="U25" s="53">
        <v>11.83</v>
      </c>
      <c r="V25" s="53">
        <v>14.03</v>
      </c>
      <c r="W25" s="53">
        <v>12.04</v>
      </c>
      <c r="X25" s="53">
        <v>9.51</v>
      </c>
      <c r="Y25" s="53">
        <v>9.2899999999999991</v>
      </c>
      <c r="Z25" s="53">
        <v>8.17</v>
      </c>
      <c r="AA25" s="54">
        <v>7.59</v>
      </c>
      <c r="AC25" s="20">
        <f t="shared" si="17"/>
        <v>11</v>
      </c>
      <c r="AD25" s="26">
        <f t="shared" si="18"/>
        <v>0.81111111111111123</v>
      </c>
      <c r="AE25" s="26">
        <f t="shared" si="18"/>
        <v>0.93370165745856359</v>
      </c>
      <c r="AF25" s="26">
        <f t="shared" si="19"/>
        <v>0.96625344352617082</v>
      </c>
      <c r="AG25" s="26">
        <f t="shared" si="19"/>
        <v>0.83379501385041543</v>
      </c>
      <c r="AH25" s="26">
        <f t="shared" si="19"/>
        <v>0.81212638770281798</v>
      </c>
      <c r="AI25" s="26">
        <f t="shared" si="20"/>
        <v>0.81634446397188032</v>
      </c>
      <c r="AJ25" s="26">
        <f t="shared" si="21"/>
        <v>0.86363636363636354</v>
      </c>
      <c r="AK25" s="27">
        <f t="shared" si="22"/>
        <v>0.92111650485436891</v>
      </c>
      <c r="AM25" s="52">
        <f t="shared" si="23"/>
        <v>11</v>
      </c>
      <c r="AN25" s="53">
        <f t="shared" si="24"/>
        <v>10.465580652423828</v>
      </c>
      <c r="AO25" s="53">
        <f t="shared" si="25"/>
        <v>10.523722767159516</v>
      </c>
      <c r="AP25" s="53">
        <f t="shared" si="26"/>
        <v>12.060335799459839</v>
      </c>
      <c r="AQ25" s="53">
        <f t="shared" si="27"/>
        <v>11.993887668333338</v>
      </c>
      <c r="AR25" s="53">
        <f t="shared" si="28"/>
        <v>9.7263451936415102</v>
      </c>
      <c r="AS25" s="53">
        <f t="shared" si="29"/>
        <v>9.4522466527446962</v>
      </c>
      <c r="AT25" s="53">
        <f t="shared" si="30"/>
        <v>7.8574915057086843</v>
      </c>
      <c r="AU25" s="54">
        <f t="shared" si="31"/>
        <v>6.8441575060295508</v>
      </c>
      <c r="AV25" s="53"/>
      <c r="AW25" s="53"/>
      <c r="AX25" s="53"/>
      <c r="AY25" s="53"/>
      <c r="AZ25" s="53"/>
      <c r="BD25" s="23"/>
      <c r="BE25" s="51">
        <v>11</v>
      </c>
      <c r="BF25" s="1">
        <f t="shared" si="36"/>
        <v>8.0000000000000071</v>
      </c>
      <c r="BS25">
        <f t="shared" si="4"/>
        <v>11</v>
      </c>
      <c r="BT25">
        <f t="shared" si="5"/>
        <v>10.220000000000001</v>
      </c>
      <c r="BU25" s="19">
        <f t="shared" si="32"/>
        <v>0.81111111111111123</v>
      </c>
    </row>
    <row r="26" spans="1:73" x14ac:dyDescent="0.25">
      <c r="A26" s="78"/>
      <c r="B26" s="113">
        <f t="shared" si="6"/>
        <v>12</v>
      </c>
      <c r="C26" s="79">
        <f t="shared" si="7"/>
        <v>0.62142857142857144</v>
      </c>
      <c r="D26" s="23"/>
      <c r="E26" s="53">
        <f t="shared" si="8"/>
        <v>-0.36746987951807242</v>
      </c>
      <c r="F26" s="53">
        <f t="shared" si="0"/>
        <v>-0.19760839518315287</v>
      </c>
      <c r="G26" s="23"/>
      <c r="H26" s="53">
        <f t="shared" si="9"/>
        <v>7.2615133169712826E-2</v>
      </c>
      <c r="I26" s="53">
        <f t="shared" si="10"/>
        <v>0.13503411235302665</v>
      </c>
      <c r="J26" s="53">
        <f t="shared" si="11"/>
        <v>3.9049077846861117E-2</v>
      </c>
      <c r="K26" s="31"/>
      <c r="L26" s="43">
        <f t="shared" si="37"/>
        <v>12</v>
      </c>
      <c r="M26" s="101">
        <f t="shared" si="38"/>
        <v>0.62142857142857144</v>
      </c>
      <c r="N26" s="135">
        <f t="shared" si="39"/>
        <v>0.82214465392732539</v>
      </c>
      <c r="O26" s="135"/>
      <c r="P26" s="135">
        <f t="shared" si="15"/>
        <v>4.0286945773646603E-2</v>
      </c>
      <c r="Q26" s="135">
        <f t="shared" si="16"/>
        <v>0.20071608249875394</v>
      </c>
      <c r="S26" s="52">
        <f t="shared" si="33"/>
        <v>12</v>
      </c>
      <c r="T26" s="53">
        <v>7.83</v>
      </c>
      <c r="U26" s="53">
        <v>11.12</v>
      </c>
      <c r="V26" s="53">
        <v>12.12</v>
      </c>
      <c r="W26" s="53">
        <v>11.01</v>
      </c>
      <c r="X26" s="53">
        <v>9.14</v>
      </c>
      <c r="Y26" s="53">
        <v>9.44</v>
      </c>
      <c r="Z26" s="53">
        <v>7.8</v>
      </c>
      <c r="AA26" s="54"/>
      <c r="AC26" s="20">
        <f t="shared" si="17"/>
        <v>12</v>
      </c>
      <c r="AD26" s="26">
        <f t="shared" si="18"/>
        <v>0.62142857142857144</v>
      </c>
      <c r="AE26" s="26">
        <f t="shared" si="18"/>
        <v>0.87766377269139695</v>
      </c>
      <c r="AF26" s="26">
        <f t="shared" si="19"/>
        <v>0.83471074380165289</v>
      </c>
      <c r="AG26" s="26">
        <f t="shared" si="19"/>
        <v>0.76246537396121883</v>
      </c>
      <c r="AH26" s="26">
        <f t="shared" si="19"/>
        <v>0.7805294619982921</v>
      </c>
      <c r="AI26" s="26">
        <f t="shared" si="20"/>
        <v>0.82952548330404208</v>
      </c>
      <c r="AJ26" s="26">
        <f t="shared" ref="AJ26:AJ36" si="40">Z26/Z$15</f>
        <v>0.82452431289640582</v>
      </c>
      <c r="AK26" s="27"/>
      <c r="AM26" s="52">
        <f t="shared" si="23"/>
        <v>12</v>
      </c>
      <c r="AN26" s="53">
        <f t="shared" si="24"/>
        <v>10.3590226394843</v>
      </c>
      <c r="AO26" s="53">
        <f t="shared" ref="AO26:AT30" si="41">($B$8+$AM26*$B$7)*U$15</f>
        <v>10.416572765259213</v>
      </c>
      <c r="AP26" s="53">
        <f t="shared" si="41"/>
        <v>11.937540375024764</v>
      </c>
      <c r="AQ26" s="53">
        <f t="shared" si="41"/>
        <v>11.871768802710578</v>
      </c>
      <c r="AR26" s="53">
        <f t="shared" si="41"/>
        <v>9.6273138974889818</v>
      </c>
      <c r="AS26" s="53">
        <f t="shared" si="41"/>
        <v>9.3560061616929637</v>
      </c>
      <c r="AT26" s="53">
        <f t="shared" si="41"/>
        <v>7.777488426152499</v>
      </c>
      <c r="AU26" s="54"/>
      <c r="AV26" s="53"/>
      <c r="AW26" s="53"/>
      <c r="AX26" s="53"/>
      <c r="AY26" s="53"/>
      <c r="AZ26" s="53"/>
      <c r="BD26" s="23"/>
      <c r="BE26" s="51">
        <v>12</v>
      </c>
      <c r="BF26" s="1">
        <f t="shared" si="36"/>
        <v>7.8000000000000069</v>
      </c>
      <c r="BS26">
        <f t="shared" si="4"/>
        <v>12</v>
      </c>
      <c r="BT26">
        <f t="shared" si="5"/>
        <v>7.83</v>
      </c>
      <c r="BU26" s="19">
        <f t="shared" si="32"/>
        <v>0.62142857142857144</v>
      </c>
    </row>
    <row r="27" spans="1:73" x14ac:dyDescent="0.25">
      <c r="A27" s="78"/>
      <c r="B27" s="113">
        <f t="shared" si="6"/>
        <v>13</v>
      </c>
      <c r="C27" s="79">
        <f t="shared" si="7"/>
        <v>0.78015873015873016</v>
      </c>
      <c r="D27" s="23"/>
      <c r="E27" s="53">
        <f t="shared" si="8"/>
        <v>0.63253012048192758</v>
      </c>
      <c r="F27" s="53">
        <f t="shared" si="0"/>
        <v>-3.8878236452994153E-2</v>
      </c>
      <c r="G27" s="23"/>
      <c r="H27" s="53">
        <f t="shared" si="9"/>
        <v>-2.4591655587737259E-2</v>
      </c>
      <c r="I27" s="53">
        <f t="shared" si="10"/>
        <v>0.40009435331688181</v>
      </c>
      <c r="J27" s="53">
        <f t="shared" si="11"/>
        <v>1.5115172696949233E-3</v>
      </c>
      <c r="K27" s="31"/>
      <c r="L27" s="43">
        <f t="shared" si="37"/>
        <v>13</v>
      </c>
      <c r="M27" s="101">
        <f t="shared" si="38"/>
        <v>0.78015873015873016</v>
      </c>
      <c r="N27" s="135">
        <f t="shared" si="39"/>
        <v>0.8136876687733946</v>
      </c>
      <c r="O27" s="135"/>
      <c r="P27" s="135">
        <f t="shared" si="15"/>
        <v>1.1241897246259361E-3</v>
      </c>
      <c r="Q27" s="135">
        <f t="shared" si="16"/>
        <v>3.3528938614664439E-2</v>
      </c>
      <c r="S27" s="52">
        <f t="shared" si="33"/>
        <v>13</v>
      </c>
      <c r="T27" s="53">
        <v>9.83</v>
      </c>
      <c r="U27" s="53">
        <v>10.98</v>
      </c>
      <c r="V27" s="53">
        <v>11.89</v>
      </c>
      <c r="W27" s="53">
        <v>10.83</v>
      </c>
      <c r="X27" s="53">
        <v>9.59</v>
      </c>
      <c r="Y27" s="53">
        <v>9.8699999999999992</v>
      </c>
      <c r="Z27" s="53">
        <v>7.48</v>
      </c>
      <c r="AA27" s="54"/>
      <c r="AC27" s="20">
        <f t="shared" si="17"/>
        <v>13</v>
      </c>
      <c r="AD27" s="26">
        <f t="shared" si="18"/>
        <v>0.78015873015873016</v>
      </c>
      <c r="AE27" s="26">
        <f t="shared" si="18"/>
        <v>0.86661404893449101</v>
      </c>
      <c r="AF27" s="26">
        <f t="shared" si="19"/>
        <v>0.81887052341597799</v>
      </c>
      <c r="AG27" s="26">
        <f t="shared" si="19"/>
        <v>0.75</v>
      </c>
      <c r="AH27" s="26">
        <f t="shared" si="19"/>
        <v>0.81895815542271555</v>
      </c>
      <c r="AI27" s="26">
        <f t="shared" si="20"/>
        <v>0.86731107205623892</v>
      </c>
      <c r="AJ27" s="26">
        <f t="shared" si="40"/>
        <v>0.79069767441860461</v>
      </c>
      <c r="AK27" s="27"/>
      <c r="AM27" s="52">
        <f t="shared" si="23"/>
        <v>13</v>
      </c>
      <c r="AN27" s="53">
        <f t="shared" si="24"/>
        <v>10.252464626544771</v>
      </c>
      <c r="AO27" s="53">
        <f t="shared" si="41"/>
        <v>10.30942276335891</v>
      </c>
      <c r="AP27" s="53">
        <f t="shared" si="41"/>
        <v>11.81474495058969</v>
      </c>
      <c r="AQ27" s="53">
        <f t="shared" si="41"/>
        <v>11.749649937087817</v>
      </c>
      <c r="AR27" s="53">
        <f t="shared" si="41"/>
        <v>9.5282826013364517</v>
      </c>
      <c r="AS27" s="53">
        <f t="shared" si="41"/>
        <v>9.2597656706412312</v>
      </c>
      <c r="AT27" s="53">
        <f t="shared" si="41"/>
        <v>7.6974853465963138</v>
      </c>
      <c r="AU27" s="54"/>
      <c r="AV27" s="53"/>
      <c r="AW27" s="53"/>
      <c r="AX27" s="53"/>
      <c r="AY27" s="53"/>
      <c r="AZ27" s="53"/>
      <c r="BD27" s="23"/>
      <c r="BE27" s="51">
        <v>13</v>
      </c>
      <c r="BF27" s="1">
        <f t="shared" si="36"/>
        <v>7.6000000000000068</v>
      </c>
      <c r="BS27">
        <f t="shared" si="4"/>
        <v>13</v>
      </c>
      <c r="BT27">
        <f t="shared" si="5"/>
        <v>9.83</v>
      </c>
      <c r="BU27" s="19">
        <f t="shared" si="32"/>
        <v>0.78015873015873016</v>
      </c>
    </row>
    <row r="28" spans="1:73" x14ac:dyDescent="0.25">
      <c r="A28" s="78"/>
      <c r="B28" s="113">
        <f t="shared" si="6"/>
        <v>14</v>
      </c>
      <c r="C28" s="79">
        <f t="shared" si="7"/>
        <v>0.72936507936507933</v>
      </c>
      <c r="D28" s="23"/>
      <c r="E28" s="53">
        <f t="shared" si="8"/>
        <v>1.6325301204819276</v>
      </c>
      <c r="F28" s="53">
        <f t="shared" si="0"/>
        <v>-8.9671887246644988E-2</v>
      </c>
      <c r="G28" s="23"/>
      <c r="H28" s="53">
        <f t="shared" si="9"/>
        <v>-0.14639205689060716</v>
      </c>
      <c r="I28" s="53">
        <f t="shared" si="10"/>
        <v>2.6651545942807369</v>
      </c>
      <c r="J28" s="53">
        <f t="shared" si="11"/>
        <v>8.0410473623750128E-3</v>
      </c>
      <c r="K28" s="31"/>
      <c r="L28" s="74">
        <f t="shared" si="37"/>
        <v>14</v>
      </c>
      <c r="M28" s="31">
        <f t="shared" si="38"/>
        <v>0.72936507936507933</v>
      </c>
      <c r="N28" s="35">
        <f t="shared" si="39"/>
        <v>0.80523068361946382</v>
      </c>
      <c r="O28" s="35"/>
      <c r="P28" s="35">
        <f t="shared" si="15"/>
        <v>5.7555899088828815E-3</v>
      </c>
      <c r="Q28" s="35">
        <f t="shared" si="16"/>
        <v>7.5865604254384489E-2</v>
      </c>
      <c r="S28" s="52">
        <f t="shared" si="33"/>
        <v>14</v>
      </c>
      <c r="T28" s="53">
        <v>9.19</v>
      </c>
      <c r="U28" s="53">
        <v>13.16</v>
      </c>
      <c r="V28" s="53">
        <v>12.9</v>
      </c>
      <c r="W28" s="53">
        <v>9.83</v>
      </c>
      <c r="X28" s="53">
        <v>9.8699999999999992</v>
      </c>
      <c r="Y28" s="53">
        <v>9.77</v>
      </c>
      <c r="Z28" s="53">
        <v>8.1</v>
      </c>
      <c r="AA28" s="54"/>
      <c r="AC28" s="20">
        <f t="shared" si="17"/>
        <v>14</v>
      </c>
      <c r="AD28" s="26">
        <f t="shared" si="18"/>
        <v>0.72936507936507933</v>
      </c>
      <c r="AE28" s="26">
        <f t="shared" si="18"/>
        <v>1.0386740331491713</v>
      </c>
      <c r="AF28" s="26">
        <f t="shared" si="19"/>
        <v>0.88842975206611574</v>
      </c>
      <c r="AG28" s="26">
        <f t="shared" si="19"/>
        <v>0.68074792243767313</v>
      </c>
      <c r="AH28" s="26">
        <f t="shared" si="19"/>
        <v>0.84286934244235678</v>
      </c>
      <c r="AI28" s="26">
        <f t="shared" si="20"/>
        <v>0.85852372583479775</v>
      </c>
      <c r="AJ28" s="26">
        <f t="shared" si="40"/>
        <v>0.85623678646934454</v>
      </c>
      <c r="AK28" s="27"/>
      <c r="AM28" s="52">
        <f t="shared" si="23"/>
        <v>14</v>
      </c>
      <c r="AN28" s="53">
        <f t="shared" si="24"/>
        <v>10.145906613605243</v>
      </c>
      <c r="AO28" s="53">
        <f t="shared" si="41"/>
        <v>10.202272761458607</v>
      </c>
      <c r="AP28" s="53">
        <f t="shared" si="41"/>
        <v>11.691949526154614</v>
      </c>
      <c r="AQ28" s="53">
        <f t="shared" si="41"/>
        <v>11.627531071465057</v>
      </c>
      <c r="AR28" s="53">
        <f t="shared" si="41"/>
        <v>9.4292513051839215</v>
      </c>
      <c r="AS28" s="53">
        <f t="shared" si="41"/>
        <v>9.1635251795894987</v>
      </c>
      <c r="AT28" s="53">
        <f t="shared" si="41"/>
        <v>7.6174822670401285</v>
      </c>
      <c r="AU28" s="54"/>
      <c r="AV28" s="53"/>
      <c r="AW28" s="53"/>
      <c r="AX28" s="53"/>
      <c r="AY28" s="53"/>
      <c r="AZ28" s="53"/>
      <c r="BD28" s="23"/>
      <c r="BE28" s="51">
        <v>14</v>
      </c>
      <c r="BF28" s="1">
        <f t="shared" si="36"/>
        <v>7.4000000000000066</v>
      </c>
      <c r="BS28">
        <f t="shared" si="4"/>
        <v>14</v>
      </c>
      <c r="BT28">
        <f t="shared" si="5"/>
        <v>9.19</v>
      </c>
      <c r="BU28" s="19">
        <f t="shared" si="32"/>
        <v>0.72936507936507933</v>
      </c>
    </row>
    <row r="29" spans="1:73" x14ac:dyDescent="0.25">
      <c r="A29" s="78"/>
      <c r="B29" s="113">
        <f t="shared" si="6"/>
        <v>15</v>
      </c>
      <c r="C29" s="79">
        <f t="shared" si="7"/>
        <v>0.78095238095238095</v>
      </c>
      <c r="D29" s="23"/>
      <c r="E29" s="53">
        <f t="shared" si="8"/>
        <v>2.6325301204819276</v>
      </c>
      <c r="F29" s="53">
        <f t="shared" si="0"/>
        <v>-3.8084585659343362E-2</v>
      </c>
      <c r="G29" s="23"/>
      <c r="H29" s="53">
        <f t="shared" si="9"/>
        <v>-0.10025881887429547</v>
      </c>
      <c r="I29" s="53">
        <f t="shared" si="10"/>
        <v>6.930214835244592</v>
      </c>
      <c r="J29" s="53">
        <f t="shared" si="11"/>
        <v>1.450435664843862E-3</v>
      </c>
      <c r="K29" s="31"/>
      <c r="L29" s="74">
        <f t="shared" si="37"/>
        <v>15</v>
      </c>
      <c r="M29" s="31">
        <f t="shared" si="38"/>
        <v>0.78095238095238095</v>
      </c>
      <c r="N29" s="35">
        <f t="shared" si="39"/>
        <v>0.79677369846553303</v>
      </c>
      <c r="O29" s="35"/>
      <c r="P29" s="35">
        <f t="shared" si="15"/>
        <v>2.5031408785197262E-4</v>
      </c>
      <c r="Q29" s="35">
        <f t="shared" si="16"/>
        <v>1.5821317513152078E-2</v>
      </c>
      <c r="S29" s="52">
        <f t="shared" si="33"/>
        <v>15</v>
      </c>
      <c r="T29" s="53">
        <v>9.84</v>
      </c>
      <c r="U29" s="53">
        <v>10.57</v>
      </c>
      <c r="V29" s="53">
        <v>11.23</v>
      </c>
      <c r="W29" s="53">
        <v>10.050000000000001</v>
      </c>
      <c r="X29" s="53">
        <v>8.52</v>
      </c>
      <c r="Y29" s="53">
        <v>8.8000000000000007</v>
      </c>
      <c r="Z29" s="53">
        <v>8.2200000000000006</v>
      </c>
      <c r="AA29" s="54"/>
      <c r="AC29" s="20">
        <f t="shared" si="17"/>
        <v>15</v>
      </c>
      <c r="AD29" s="26">
        <f t="shared" si="18"/>
        <v>0.78095238095238095</v>
      </c>
      <c r="AE29" s="26">
        <f t="shared" si="18"/>
        <v>0.83425414364640882</v>
      </c>
      <c r="AF29" s="26">
        <f t="shared" si="19"/>
        <v>0.77341597796143258</v>
      </c>
      <c r="AG29" s="26">
        <f t="shared" si="19"/>
        <v>0.69598337950138511</v>
      </c>
      <c r="AH29" s="26">
        <f t="shared" si="19"/>
        <v>0.7275832621690862</v>
      </c>
      <c r="AI29" s="26">
        <f t="shared" si="20"/>
        <v>0.77328646748681895</v>
      </c>
      <c r="AJ29" s="26">
        <f t="shared" si="40"/>
        <v>0.86892177589852004</v>
      </c>
      <c r="AK29" s="27"/>
      <c r="AM29" s="52">
        <f t="shared" si="23"/>
        <v>15</v>
      </c>
      <c r="AN29" s="53">
        <f t="shared" si="24"/>
        <v>10.039348600665717</v>
      </c>
      <c r="AO29" s="53">
        <f t="shared" si="41"/>
        <v>10.095122759558304</v>
      </c>
      <c r="AP29" s="53">
        <f t="shared" si="41"/>
        <v>11.569154101719539</v>
      </c>
      <c r="AQ29" s="53">
        <f t="shared" si="41"/>
        <v>11.505412205842296</v>
      </c>
      <c r="AR29" s="53">
        <f t="shared" si="41"/>
        <v>9.3302200090313931</v>
      </c>
      <c r="AS29" s="53">
        <f t="shared" si="41"/>
        <v>9.0672846885377663</v>
      </c>
      <c r="AT29" s="53">
        <f t="shared" si="41"/>
        <v>7.5374791874839433</v>
      </c>
      <c r="AU29" s="54"/>
      <c r="AV29" s="53"/>
      <c r="AW29" s="53"/>
      <c r="AX29" s="53"/>
      <c r="AY29" s="53"/>
      <c r="AZ29" s="53"/>
      <c r="BD29" s="23"/>
      <c r="BE29" s="51">
        <v>15</v>
      </c>
      <c r="BF29" s="1">
        <f t="shared" si="36"/>
        <v>7.2000000000000064</v>
      </c>
      <c r="BS29">
        <f t="shared" si="4"/>
        <v>15</v>
      </c>
      <c r="BT29">
        <f t="shared" si="5"/>
        <v>9.84</v>
      </c>
      <c r="BU29" s="19">
        <f t="shared" si="32"/>
        <v>0.78095238095238095</v>
      </c>
    </row>
    <row r="30" spans="1:73" x14ac:dyDescent="0.25">
      <c r="A30" s="78"/>
      <c r="B30" s="113">
        <f t="shared" si="6"/>
        <v>16</v>
      </c>
      <c r="C30" s="79">
        <f t="shared" si="7"/>
        <v>0.63571428571428568</v>
      </c>
      <c r="D30" s="23"/>
      <c r="E30" s="53">
        <f t="shared" si="8"/>
        <v>3.6325301204819276</v>
      </c>
      <c r="F30" s="53">
        <f t="shared" si="0"/>
        <v>-0.18332268089743864</v>
      </c>
      <c r="G30" s="23"/>
      <c r="H30" s="53">
        <f t="shared" si="9"/>
        <v>-0.66592516012744274</v>
      </c>
      <c r="I30" s="53">
        <f t="shared" si="10"/>
        <v>13.195275076208448</v>
      </c>
      <c r="J30" s="53">
        <f t="shared" si="11"/>
        <v>3.3607205331424111E-2</v>
      </c>
      <c r="K30" s="31"/>
      <c r="L30" s="74">
        <f t="shared" si="37"/>
        <v>16</v>
      </c>
      <c r="M30" s="31">
        <f t="shared" si="38"/>
        <v>0.63571428571428568</v>
      </c>
      <c r="N30" s="35">
        <f t="shared" si="39"/>
        <v>0.78831671331160225</v>
      </c>
      <c r="O30" s="35"/>
      <c r="P30" s="35">
        <f t="shared" si="15"/>
        <v>2.3287500908594248E-2</v>
      </c>
      <c r="Q30" s="35">
        <f t="shared" si="16"/>
        <v>0.15260242759731657</v>
      </c>
      <c r="S30" s="52">
        <f t="shared" si="33"/>
        <v>16</v>
      </c>
      <c r="T30" s="53">
        <v>8.01</v>
      </c>
      <c r="U30" s="53">
        <v>10.17</v>
      </c>
      <c r="V30" s="53">
        <v>11.54</v>
      </c>
      <c r="W30" s="53">
        <v>10.62</v>
      </c>
      <c r="X30" s="53">
        <v>9.2200000000000006</v>
      </c>
      <c r="Y30" s="53">
        <v>9.32</v>
      </c>
      <c r="Z30" s="53">
        <v>8.14</v>
      </c>
      <c r="AA30" s="54"/>
      <c r="AC30" s="20">
        <f t="shared" si="17"/>
        <v>16</v>
      </c>
      <c r="AD30" s="26">
        <f t="shared" si="18"/>
        <v>0.63571428571428568</v>
      </c>
      <c r="AE30" s="26">
        <f t="shared" si="18"/>
        <v>0.80268350434096292</v>
      </c>
      <c r="AF30" s="26">
        <f t="shared" si="19"/>
        <v>0.79476584022038566</v>
      </c>
      <c r="AG30" s="26">
        <f t="shared" si="19"/>
        <v>0.73545706371191133</v>
      </c>
      <c r="AH30" s="26">
        <f t="shared" si="19"/>
        <v>0.78736122971818956</v>
      </c>
      <c r="AI30" s="26">
        <f t="shared" si="20"/>
        <v>0.8189806678383128</v>
      </c>
      <c r="AJ30" s="26">
        <f t="shared" si="40"/>
        <v>0.86046511627906974</v>
      </c>
      <c r="AK30" s="27"/>
      <c r="AM30" s="52">
        <f t="shared" si="23"/>
        <v>16</v>
      </c>
      <c r="AN30" s="53">
        <f t="shared" si="24"/>
        <v>9.9327905877261884</v>
      </c>
      <c r="AO30" s="53">
        <f t="shared" si="41"/>
        <v>9.9879727576579995</v>
      </c>
      <c r="AP30" s="53">
        <f t="shared" si="41"/>
        <v>11.446358677284465</v>
      </c>
      <c r="AQ30" s="53">
        <f t="shared" si="41"/>
        <v>11.383293340219536</v>
      </c>
      <c r="AR30" s="53">
        <f t="shared" si="41"/>
        <v>9.231188712878863</v>
      </c>
      <c r="AS30" s="53">
        <f t="shared" si="41"/>
        <v>8.9710441974860338</v>
      </c>
      <c r="AT30" s="53">
        <f t="shared" si="41"/>
        <v>7.4574761079277581</v>
      </c>
      <c r="AU30" s="54"/>
      <c r="AV30" s="53"/>
      <c r="AW30" s="53"/>
      <c r="AX30" s="53"/>
      <c r="AY30" s="53"/>
      <c r="AZ30" s="53"/>
      <c r="BD30" s="23"/>
      <c r="BE30" s="51">
        <v>16</v>
      </c>
      <c r="BF30" s="1">
        <f t="shared" si="36"/>
        <v>7.0000000000000062</v>
      </c>
      <c r="BS30">
        <f t="shared" si="4"/>
        <v>16</v>
      </c>
      <c r="BT30">
        <f t="shared" si="5"/>
        <v>8.01</v>
      </c>
      <c r="BU30" s="19">
        <f t="shared" si="32"/>
        <v>0.63571428571428568</v>
      </c>
    </row>
    <row r="31" spans="1:73" x14ac:dyDescent="0.25">
      <c r="A31" s="125"/>
      <c r="B31" s="70">
        <f t="shared" si="6"/>
        <v>17</v>
      </c>
      <c r="C31" s="71">
        <f t="shared" si="7"/>
        <v>0.71031746031746024</v>
      </c>
      <c r="E31" s="31">
        <f t="shared" si="8"/>
        <v>4.6325301204819276</v>
      </c>
      <c r="F31" s="31">
        <f t="shared" si="0"/>
        <v>-0.10871950629426408</v>
      </c>
      <c r="H31" s="31">
        <f t="shared" si="9"/>
        <v>-0.5036463875921029</v>
      </c>
      <c r="I31" s="31">
        <f t="shared" si="10"/>
        <v>21.460335317172301</v>
      </c>
      <c r="J31" s="31">
        <f t="shared" si="11"/>
        <v>1.1819931048868526E-2</v>
      </c>
      <c r="K31" s="31"/>
      <c r="L31" s="74">
        <f t="shared" si="37"/>
        <v>17</v>
      </c>
      <c r="M31" s="31">
        <f t="shared" si="38"/>
        <v>0.71031746031746024</v>
      </c>
      <c r="N31" s="35">
        <f t="shared" si="39"/>
        <v>0.77985972815767146</v>
      </c>
      <c r="O31" s="35"/>
      <c r="P31" s="35">
        <f t="shared" si="15"/>
        <v>4.8361270163596766E-3</v>
      </c>
      <c r="Q31" s="35">
        <f t="shared" si="16"/>
        <v>6.9542267840211225E-2</v>
      </c>
      <c r="S31" s="52">
        <f t="shared" si="33"/>
        <v>17</v>
      </c>
      <c r="T31" s="53">
        <v>8.9499999999999993</v>
      </c>
      <c r="U31" s="53">
        <v>10.11</v>
      </c>
      <c r="V31" s="53">
        <v>11.63</v>
      </c>
      <c r="W31" s="53">
        <v>10.53</v>
      </c>
      <c r="X31" s="53">
        <v>9.39</v>
      </c>
      <c r="Y31" s="53">
        <v>9.61</v>
      </c>
      <c r="Z31" s="53">
        <v>7.69</v>
      </c>
      <c r="AA31" s="54"/>
      <c r="AC31" s="20">
        <f t="shared" si="17"/>
        <v>17</v>
      </c>
      <c r="AD31" s="26">
        <f t="shared" si="18"/>
        <v>0.71031746031746024</v>
      </c>
      <c r="AE31" s="26">
        <f t="shared" si="18"/>
        <v>0.79794790844514596</v>
      </c>
      <c r="AF31" s="26">
        <f t="shared" si="19"/>
        <v>0.80096418732782382</v>
      </c>
      <c r="AG31" s="26">
        <f t="shared" si="19"/>
        <v>0.72922437673130192</v>
      </c>
      <c r="AH31" s="26">
        <f t="shared" si="19"/>
        <v>0.80187873612297178</v>
      </c>
      <c r="AI31" s="26">
        <f t="shared" si="20"/>
        <v>0.84446397188049194</v>
      </c>
      <c r="AJ31" s="26">
        <f t="shared" si="40"/>
        <v>0.81289640591966172</v>
      </c>
      <c r="AK31" s="27"/>
      <c r="AM31" s="52">
        <f t="shared" si="23"/>
        <v>17</v>
      </c>
      <c r="AN31" s="53">
        <f t="shared" si="24"/>
        <v>9.8262325747866601</v>
      </c>
      <c r="AO31" s="53">
        <f t="shared" ref="AO31:AO38" si="42">($B$8+$AM31*$B$7)*U$15</f>
        <v>9.8808227557576966</v>
      </c>
      <c r="AP31" s="53">
        <f t="shared" ref="AP31:AP38" si="43">($B$8+$AM31*$B$7)*V$15</f>
        <v>11.323563252849389</v>
      </c>
      <c r="AQ31" s="53">
        <f t="shared" ref="AQ31:AQ38" si="44">($B$8+$AM31*$B$7)*W$15</f>
        <v>11.261174474596775</v>
      </c>
      <c r="AR31" s="53">
        <f t="shared" ref="AR31:AR38" si="45">($B$8+$AM31*$B$7)*X$15</f>
        <v>9.1321574167263329</v>
      </c>
      <c r="AS31" s="53">
        <f t="shared" ref="AS31:AT36" si="46">($B$8+$AM31*$B$7)*Y$15</f>
        <v>8.8748037064343013</v>
      </c>
      <c r="AT31" s="53">
        <f t="shared" si="46"/>
        <v>7.3774730283715728</v>
      </c>
      <c r="AU31" s="54"/>
      <c r="AV31" s="53"/>
      <c r="AW31" s="53"/>
      <c r="AX31" s="53"/>
      <c r="AY31" s="53"/>
      <c r="AZ31" s="53"/>
      <c r="BD31" s="23"/>
      <c r="BE31" s="51">
        <v>17</v>
      </c>
      <c r="BF31" s="1">
        <f t="shared" si="36"/>
        <v>6.800000000000006</v>
      </c>
      <c r="BS31">
        <f t="shared" si="4"/>
        <v>17</v>
      </c>
      <c r="BT31">
        <f t="shared" si="5"/>
        <v>8.9499999999999993</v>
      </c>
      <c r="BU31" s="19">
        <f t="shared" si="32"/>
        <v>0.71031746031746024</v>
      </c>
    </row>
    <row r="32" spans="1:73" x14ac:dyDescent="0.25">
      <c r="A32" s="125"/>
      <c r="B32" s="70">
        <f t="shared" si="6"/>
        <v>18</v>
      </c>
      <c r="C32" s="71">
        <f t="shared" si="7"/>
        <v>0.72857142857142854</v>
      </c>
      <c r="E32" s="31">
        <f t="shared" si="8"/>
        <v>5.6325301204819276</v>
      </c>
      <c r="F32" s="31">
        <f t="shared" si="0"/>
        <v>-9.0465538040295779E-2</v>
      </c>
      <c r="H32" s="31">
        <f t="shared" si="9"/>
        <v>-0.50954986787756962</v>
      </c>
      <c r="I32" s="31">
        <f t="shared" si="10"/>
        <v>31.725395558136157</v>
      </c>
      <c r="J32" s="31">
        <f t="shared" si="11"/>
        <v>8.184013572920203E-3</v>
      </c>
      <c r="K32" s="31"/>
      <c r="L32" s="74">
        <f t="shared" si="37"/>
        <v>18</v>
      </c>
      <c r="M32" s="31">
        <f t="shared" si="38"/>
        <v>0.72857142857142854</v>
      </c>
      <c r="N32" s="35">
        <f t="shared" si="39"/>
        <v>0.77140274300374068</v>
      </c>
      <c r="O32" s="35"/>
      <c r="P32" s="35">
        <f t="shared" si="15"/>
        <v>1.8345214959995901E-3</v>
      </c>
      <c r="Q32" s="35">
        <f t="shared" si="16"/>
        <v>4.283131443231214E-2</v>
      </c>
      <c r="S32" s="52">
        <f t="shared" si="33"/>
        <v>18</v>
      </c>
      <c r="T32" s="53">
        <v>9.18</v>
      </c>
      <c r="U32" s="53">
        <v>10.9</v>
      </c>
      <c r="V32" s="53">
        <v>10.6</v>
      </c>
      <c r="W32" s="53">
        <v>9.09</v>
      </c>
      <c r="X32" s="53">
        <v>10.09</v>
      </c>
      <c r="Y32" s="53">
        <v>8.7100000000000009</v>
      </c>
      <c r="Z32" s="53">
        <v>7.51</v>
      </c>
      <c r="AA32" s="54"/>
      <c r="AC32" s="20">
        <f t="shared" si="17"/>
        <v>18</v>
      </c>
      <c r="AD32" s="26">
        <f t="shared" si="18"/>
        <v>0.72857142857142854</v>
      </c>
      <c r="AE32" s="26">
        <f t="shared" si="18"/>
        <v>0.86029992107340181</v>
      </c>
      <c r="AF32" s="26">
        <f t="shared" si="19"/>
        <v>0.73002754820936644</v>
      </c>
      <c r="AG32" s="26">
        <f t="shared" si="19"/>
        <v>0.62950138504155129</v>
      </c>
      <c r="AH32" s="26">
        <f t="shared" si="19"/>
        <v>0.86165670367207503</v>
      </c>
      <c r="AI32" s="26">
        <f t="shared" si="20"/>
        <v>0.76537785588752194</v>
      </c>
      <c r="AJ32" s="26">
        <f t="shared" si="40"/>
        <v>0.79386892177589841</v>
      </c>
      <c r="AK32" s="27"/>
      <c r="AM32" s="52">
        <f t="shared" si="23"/>
        <v>18</v>
      </c>
      <c r="AN32" s="53">
        <f t="shared" si="24"/>
        <v>9.7196745618471319</v>
      </c>
      <c r="AO32" s="53">
        <f t="shared" si="42"/>
        <v>9.7736727538573938</v>
      </c>
      <c r="AP32" s="53">
        <f t="shared" si="43"/>
        <v>11.200767828414314</v>
      </c>
      <c r="AQ32" s="53">
        <f t="shared" si="44"/>
        <v>11.139055608974015</v>
      </c>
      <c r="AR32" s="53">
        <f t="shared" si="45"/>
        <v>9.0331261205738045</v>
      </c>
      <c r="AS32" s="53">
        <f t="shared" si="46"/>
        <v>8.7785632153825688</v>
      </c>
      <c r="AT32" s="53">
        <f t="shared" si="46"/>
        <v>7.2974699488153876</v>
      </c>
      <c r="AU32" s="54"/>
      <c r="AV32" s="53"/>
      <c r="AW32" s="53"/>
      <c r="AX32" s="53"/>
      <c r="AY32" s="53"/>
      <c r="AZ32" s="53"/>
      <c r="BD32" s="23"/>
      <c r="BE32" s="51">
        <v>18</v>
      </c>
      <c r="BF32" s="1">
        <f t="shared" si="36"/>
        <v>6.6000000000000059</v>
      </c>
      <c r="BS32">
        <f t="shared" si="4"/>
        <v>18</v>
      </c>
      <c r="BT32">
        <f t="shared" si="5"/>
        <v>9.18</v>
      </c>
      <c r="BU32" s="19">
        <f t="shared" si="32"/>
        <v>0.72857142857142854</v>
      </c>
    </row>
    <row r="33" spans="1:73" x14ac:dyDescent="0.25">
      <c r="A33" s="125"/>
      <c r="B33" s="70">
        <f t="shared" si="6"/>
        <v>19</v>
      </c>
      <c r="C33" s="71">
        <f t="shared" si="7"/>
        <v>0.75476190476190474</v>
      </c>
      <c r="E33" s="31">
        <f t="shared" si="8"/>
        <v>6.6325301204819276</v>
      </c>
      <c r="F33" s="31">
        <f t="shared" si="0"/>
        <v>-6.427506184981957E-2</v>
      </c>
      <c r="H33" s="31">
        <f t="shared" si="9"/>
        <v>-0.42630628371476714</v>
      </c>
      <c r="I33" s="31">
        <f t="shared" si="10"/>
        <v>43.990455799100012</v>
      </c>
      <c r="J33" s="31">
        <f t="shared" si="11"/>
        <v>4.1312835757981309E-3</v>
      </c>
      <c r="K33" s="31"/>
      <c r="L33" s="74">
        <f t="shared" si="37"/>
        <v>19</v>
      </c>
      <c r="M33" s="31">
        <f t="shared" si="38"/>
        <v>0.75476190476190474</v>
      </c>
      <c r="N33" s="35">
        <f t="shared" si="39"/>
        <v>0.76294575784980989</v>
      </c>
      <c r="O33" s="35"/>
      <c r="P33" s="35">
        <f t="shared" si="15"/>
        <v>6.6975451364414596E-5</v>
      </c>
      <c r="Q33" s="35">
        <f t="shared" si="16"/>
        <v>8.1838530879051463E-3</v>
      </c>
      <c r="S33" s="52">
        <f t="shared" si="33"/>
        <v>19</v>
      </c>
      <c r="T33" s="53">
        <v>9.51</v>
      </c>
      <c r="U33" s="53">
        <v>9.61</v>
      </c>
      <c r="V33" s="53">
        <v>10.35</v>
      </c>
      <c r="W33" s="53">
        <v>10.88</v>
      </c>
      <c r="X33" s="53">
        <v>9</v>
      </c>
      <c r="Y33" s="53">
        <v>9.43</v>
      </c>
      <c r="Z33" s="53">
        <v>7.44</v>
      </c>
      <c r="AA33" s="54"/>
      <c r="AC33" s="20">
        <f t="shared" si="17"/>
        <v>19</v>
      </c>
      <c r="AD33" s="26">
        <f t="shared" si="18"/>
        <v>0.75476190476190474</v>
      </c>
      <c r="AE33" s="26">
        <f t="shared" si="18"/>
        <v>0.75848460931333861</v>
      </c>
      <c r="AF33" s="26">
        <f t="shared" si="19"/>
        <v>0.71280991735537191</v>
      </c>
      <c r="AG33" s="26">
        <f t="shared" si="19"/>
        <v>0.75346260387811648</v>
      </c>
      <c r="AH33" s="26">
        <f t="shared" si="19"/>
        <v>0.76857386848847131</v>
      </c>
      <c r="AI33" s="26">
        <f t="shared" si="20"/>
        <v>0.82864674868189803</v>
      </c>
      <c r="AJ33" s="26">
        <f t="shared" si="40"/>
        <v>0.78646934460887952</v>
      </c>
      <c r="AK33" s="27"/>
      <c r="AM33" s="52">
        <f t="shared" si="23"/>
        <v>19</v>
      </c>
      <c r="AN33" s="53">
        <f t="shared" si="24"/>
        <v>9.6131165489076036</v>
      </c>
      <c r="AO33" s="53">
        <f t="shared" si="42"/>
        <v>9.6665227519570909</v>
      </c>
      <c r="AP33" s="53">
        <f t="shared" si="43"/>
        <v>11.077972403979238</v>
      </c>
      <c r="AQ33" s="53">
        <f t="shared" si="44"/>
        <v>11.016936743351254</v>
      </c>
      <c r="AR33" s="53">
        <f t="shared" si="45"/>
        <v>8.9340948244212743</v>
      </c>
      <c r="AS33" s="53">
        <f t="shared" si="46"/>
        <v>8.6823227243308363</v>
      </c>
      <c r="AT33" s="53">
        <f t="shared" si="46"/>
        <v>7.2174668692592023</v>
      </c>
      <c r="AU33" s="54"/>
      <c r="AV33" s="53"/>
      <c r="AW33" s="53"/>
      <c r="AX33" s="53"/>
      <c r="AY33" s="53"/>
      <c r="AZ33" s="53"/>
      <c r="BD33" s="23"/>
      <c r="BE33" s="51">
        <v>19</v>
      </c>
      <c r="BF33" s="1">
        <f t="shared" si="36"/>
        <v>6.4000000000000057</v>
      </c>
      <c r="BS33">
        <f t="shared" si="4"/>
        <v>19</v>
      </c>
      <c r="BT33">
        <f t="shared" si="5"/>
        <v>9.51</v>
      </c>
      <c r="BU33" s="19">
        <f t="shared" si="32"/>
        <v>0.75476190476190474</v>
      </c>
    </row>
    <row r="34" spans="1:73" x14ac:dyDescent="0.25">
      <c r="A34" s="125"/>
      <c r="B34" s="70">
        <f t="shared" si="6"/>
        <v>20</v>
      </c>
      <c r="C34" s="71">
        <f t="shared" si="7"/>
        <v>0.70476190476190481</v>
      </c>
      <c r="E34" s="31">
        <f t="shared" si="8"/>
        <v>7.6325301204819276</v>
      </c>
      <c r="F34" s="31">
        <f t="shared" si="0"/>
        <v>-0.1142750618498195</v>
      </c>
      <c r="H34" s="31">
        <f t="shared" si="9"/>
        <v>-0.87220785158868264</v>
      </c>
      <c r="I34" s="31">
        <f t="shared" si="10"/>
        <v>58.255516040063867</v>
      </c>
      <c r="J34" s="31">
        <f t="shared" si="11"/>
        <v>1.3058789760780074E-2</v>
      </c>
      <c r="K34" s="31"/>
      <c r="L34" s="74">
        <f t="shared" si="37"/>
        <v>20</v>
      </c>
      <c r="M34" s="31">
        <f t="shared" si="38"/>
        <v>0.70476190476190481</v>
      </c>
      <c r="N34" s="35">
        <f t="shared" si="39"/>
        <v>0.75448877269587911</v>
      </c>
      <c r="O34" s="35"/>
      <c r="P34" s="35">
        <f t="shared" si="15"/>
        <v>2.4727613945229208E-3</v>
      </c>
      <c r="Q34" s="35">
        <f t="shared" si="16"/>
        <v>4.9726867933974295E-2</v>
      </c>
      <c r="S34" s="52">
        <f t="shared" si="33"/>
        <v>20</v>
      </c>
      <c r="T34" s="53">
        <v>8.8800000000000008</v>
      </c>
      <c r="U34" s="53">
        <v>9.9499999999999993</v>
      </c>
      <c r="V34" s="53">
        <v>10.210000000000001</v>
      </c>
      <c r="W34" s="53">
        <v>10.38</v>
      </c>
      <c r="X34" s="53">
        <v>9.59</v>
      </c>
      <c r="Y34" s="53">
        <v>8.85</v>
      </c>
      <c r="Z34" s="53">
        <v>7.42</v>
      </c>
      <c r="AA34" s="54"/>
      <c r="AC34" s="20">
        <f t="shared" si="17"/>
        <v>20</v>
      </c>
      <c r="AD34" s="26">
        <f t="shared" si="18"/>
        <v>0.70476190476190481</v>
      </c>
      <c r="AE34" s="26">
        <f t="shared" si="18"/>
        <v>0.78531965272296755</v>
      </c>
      <c r="AF34" s="26">
        <f t="shared" si="19"/>
        <v>0.70316804407713507</v>
      </c>
      <c r="AG34" s="26">
        <f t="shared" si="19"/>
        <v>0.71883656509695304</v>
      </c>
      <c r="AH34" s="26">
        <f t="shared" si="19"/>
        <v>0.81895815542271555</v>
      </c>
      <c r="AI34" s="26">
        <f t="shared" si="20"/>
        <v>0.77768014059753943</v>
      </c>
      <c r="AJ34" s="26">
        <f t="shared" si="40"/>
        <v>0.7843551797040168</v>
      </c>
      <c r="AK34" s="27"/>
      <c r="AM34" s="52">
        <f t="shared" si="23"/>
        <v>20</v>
      </c>
      <c r="AN34" s="53">
        <f t="shared" si="24"/>
        <v>9.5065585359680771</v>
      </c>
      <c r="AO34" s="53">
        <f t="shared" si="42"/>
        <v>9.559372750056788</v>
      </c>
      <c r="AP34" s="53">
        <f t="shared" si="43"/>
        <v>10.955176979544165</v>
      </c>
      <c r="AQ34" s="53">
        <f t="shared" si="44"/>
        <v>10.894817877728494</v>
      </c>
      <c r="AR34" s="53">
        <f t="shared" si="45"/>
        <v>8.8350635282687442</v>
      </c>
      <c r="AS34" s="53">
        <f t="shared" si="46"/>
        <v>8.5860822332791056</v>
      </c>
      <c r="AT34" s="53">
        <f t="shared" si="46"/>
        <v>7.1374637897030171</v>
      </c>
      <c r="AU34" s="54"/>
      <c r="AV34" s="53"/>
      <c r="AW34" s="53"/>
      <c r="AX34" s="53"/>
      <c r="AY34" s="53"/>
      <c r="AZ34" s="53"/>
      <c r="BD34" s="23"/>
      <c r="BE34" s="51">
        <v>20</v>
      </c>
      <c r="BF34" s="1">
        <f t="shared" si="36"/>
        <v>6.2000000000000055</v>
      </c>
      <c r="BS34">
        <f t="shared" si="4"/>
        <v>20</v>
      </c>
      <c r="BT34">
        <f t="shared" si="5"/>
        <v>8.8800000000000008</v>
      </c>
      <c r="BU34" s="19">
        <f t="shared" si="32"/>
        <v>0.70476190476190481</v>
      </c>
    </row>
    <row r="35" spans="1:73" x14ac:dyDescent="0.25">
      <c r="A35" s="125"/>
      <c r="B35" s="70">
        <f t="shared" si="6"/>
        <v>21</v>
      </c>
      <c r="C35" s="71">
        <f t="shared" si="7"/>
        <v>0.7944444444444444</v>
      </c>
      <c r="E35" s="31">
        <f t="shared" si="8"/>
        <v>8.6325301204819276</v>
      </c>
      <c r="F35" s="31">
        <f t="shared" si="0"/>
        <v>-2.4592522167279918E-2</v>
      </c>
      <c r="H35" s="31">
        <f t="shared" si="9"/>
        <v>-0.21229568834766338</v>
      </c>
      <c r="I35" s="31">
        <f t="shared" si="10"/>
        <v>74.520576281027729</v>
      </c>
      <c r="J35" s="31">
        <f t="shared" si="11"/>
        <v>6.0479214654815419E-4</v>
      </c>
      <c r="K35" s="31"/>
      <c r="L35" s="74">
        <f t="shared" si="37"/>
        <v>21</v>
      </c>
      <c r="M35" s="31">
        <f t="shared" si="38"/>
        <v>0.7944444444444444</v>
      </c>
      <c r="N35" s="35">
        <f t="shared" si="39"/>
        <v>0.74603178754194832</v>
      </c>
      <c r="O35" s="35"/>
      <c r="P35" s="35">
        <f t="shared" si="15"/>
        <v>2.3437853483588011E-3</v>
      </c>
      <c r="Q35" s="35">
        <f t="shared" si="16"/>
        <v>-4.8412656902496076E-2</v>
      </c>
      <c r="S35" s="52">
        <f t="shared" si="33"/>
        <v>21</v>
      </c>
      <c r="T35" s="53">
        <v>10.01</v>
      </c>
      <c r="U35" s="53">
        <v>9.9</v>
      </c>
      <c r="V35" s="53">
        <v>10.06</v>
      </c>
      <c r="W35" s="53">
        <v>9.64</v>
      </c>
      <c r="X35" s="53">
        <v>8.39</v>
      </c>
      <c r="Y35" s="53">
        <v>8</v>
      </c>
      <c r="Z35" s="53">
        <v>7.16</v>
      </c>
      <c r="AA35" s="54"/>
      <c r="AC35" s="20">
        <f t="shared" si="17"/>
        <v>21</v>
      </c>
      <c r="AD35" s="26">
        <f t="shared" si="18"/>
        <v>0.7944444444444444</v>
      </c>
      <c r="AE35" s="26">
        <f t="shared" si="18"/>
        <v>0.78137332280978689</v>
      </c>
      <c r="AF35" s="26">
        <f t="shared" si="19"/>
        <v>0.69283746556473835</v>
      </c>
      <c r="AG35" s="26">
        <f t="shared" si="19"/>
        <v>0.66759002770083109</v>
      </c>
      <c r="AH35" s="26">
        <f t="shared" si="19"/>
        <v>0.71648163962425282</v>
      </c>
      <c r="AI35" s="26">
        <f t="shared" si="20"/>
        <v>0.70298769771528991</v>
      </c>
      <c r="AJ35" s="26">
        <f t="shared" si="40"/>
        <v>0.75687103594080329</v>
      </c>
      <c r="AK35" s="27"/>
      <c r="AM35" s="52">
        <f t="shared" si="23"/>
        <v>21</v>
      </c>
      <c r="AN35" s="53">
        <f t="shared" si="24"/>
        <v>9.4000005230285488</v>
      </c>
      <c r="AO35" s="53">
        <f t="shared" si="42"/>
        <v>9.4522227481564851</v>
      </c>
      <c r="AP35" s="53">
        <f t="shared" si="43"/>
        <v>10.832381555109089</v>
      </c>
      <c r="AQ35" s="53">
        <f t="shared" si="44"/>
        <v>10.772699012105733</v>
      </c>
      <c r="AR35" s="53">
        <f t="shared" si="45"/>
        <v>8.7360322321162158</v>
      </c>
      <c r="AS35" s="53">
        <f t="shared" si="46"/>
        <v>8.4898417422273731</v>
      </c>
      <c r="AT35" s="53">
        <f t="shared" si="46"/>
        <v>7.0574607101468319</v>
      </c>
      <c r="AU35" s="54"/>
      <c r="AV35" s="53"/>
      <c r="AW35" s="53"/>
      <c r="AX35" s="53"/>
      <c r="AY35" s="53"/>
      <c r="AZ35" s="53"/>
      <c r="BD35" s="23"/>
      <c r="BE35" s="51">
        <v>21</v>
      </c>
      <c r="BF35" s="1">
        <f t="shared" si="36"/>
        <v>6.0000000000000053</v>
      </c>
      <c r="BS35">
        <f t="shared" si="4"/>
        <v>21</v>
      </c>
      <c r="BT35">
        <f t="shared" si="5"/>
        <v>10.01</v>
      </c>
      <c r="BU35" s="19">
        <f t="shared" si="32"/>
        <v>0.7944444444444444</v>
      </c>
    </row>
    <row r="36" spans="1:73" x14ac:dyDescent="0.25">
      <c r="A36" s="125"/>
      <c r="B36" s="70">
        <f t="shared" si="6"/>
        <v>22</v>
      </c>
      <c r="C36" s="71">
        <f t="shared" si="7"/>
        <v>0.75238095238095248</v>
      </c>
      <c r="E36" s="31">
        <f t="shared" si="8"/>
        <v>9.6325301204819276</v>
      </c>
      <c r="F36" s="31">
        <f t="shared" si="0"/>
        <v>-6.6656014230771832E-2</v>
      </c>
      <c r="H36" s="31">
        <f t="shared" si="9"/>
        <v>-0.64206606478918171</v>
      </c>
      <c r="I36" s="31">
        <f t="shared" si="10"/>
        <v>92.785636521991577</v>
      </c>
      <c r="J36" s="31">
        <f t="shared" si="11"/>
        <v>4.443024233132857E-3</v>
      </c>
      <c r="K36" s="31"/>
      <c r="L36" s="74">
        <f t="shared" si="37"/>
        <v>22</v>
      </c>
      <c r="M36" s="31">
        <f t="shared" si="38"/>
        <v>0.75238095238095248</v>
      </c>
      <c r="N36" s="35">
        <f t="shared" si="39"/>
        <v>0.73757480238801754</v>
      </c>
      <c r="O36" s="35"/>
      <c r="P36" s="35">
        <f t="shared" si="15"/>
        <v>2.1922207761328752E-4</v>
      </c>
      <c r="Q36" s="35">
        <f t="shared" si="16"/>
        <v>-1.4806149992934947E-2</v>
      </c>
      <c r="S36" s="52">
        <f t="shared" si="33"/>
        <v>22</v>
      </c>
      <c r="T36" s="53">
        <v>9.48</v>
      </c>
      <c r="U36" s="53">
        <v>10.15</v>
      </c>
      <c r="V36" s="53">
        <v>10.58</v>
      </c>
      <c r="W36" s="53">
        <v>9.02</v>
      </c>
      <c r="X36" s="53">
        <v>8.5500000000000007</v>
      </c>
      <c r="Y36" s="53">
        <v>8.57</v>
      </c>
      <c r="Z36" s="53">
        <v>6.79</v>
      </c>
      <c r="AA36" s="54"/>
      <c r="AC36" s="20">
        <f t="shared" si="17"/>
        <v>22</v>
      </c>
      <c r="AD36" s="26">
        <f t="shared" si="18"/>
        <v>0.75238095238095248</v>
      </c>
      <c r="AE36" s="26">
        <f t="shared" si="18"/>
        <v>0.80110497237569067</v>
      </c>
      <c r="AF36" s="26">
        <f t="shared" si="19"/>
        <v>0.72865013774104681</v>
      </c>
      <c r="AG36" s="26">
        <f t="shared" si="19"/>
        <v>0.6246537396121884</v>
      </c>
      <c r="AH36" s="26">
        <f t="shared" si="19"/>
        <v>0.73014517506404786</v>
      </c>
      <c r="AI36" s="26">
        <f t="shared" si="20"/>
        <v>0.75307557117750434</v>
      </c>
      <c r="AJ36" s="26">
        <f t="shared" si="40"/>
        <v>0.71775898520084558</v>
      </c>
      <c r="AK36" s="27"/>
      <c r="AM36" s="52">
        <f t="shared" si="23"/>
        <v>22</v>
      </c>
      <c r="AN36" s="53">
        <f t="shared" si="24"/>
        <v>9.2934425100890206</v>
      </c>
      <c r="AO36" s="53">
        <f t="shared" si="42"/>
        <v>9.3450727462561822</v>
      </c>
      <c r="AP36" s="53">
        <f t="shared" si="43"/>
        <v>10.709586130674014</v>
      </c>
      <c r="AQ36" s="53">
        <f t="shared" si="44"/>
        <v>10.650580146482973</v>
      </c>
      <c r="AR36" s="53">
        <f t="shared" si="45"/>
        <v>8.6370009359636857</v>
      </c>
      <c r="AS36" s="53">
        <f t="shared" si="46"/>
        <v>8.3936012511756406</v>
      </c>
      <c r="AT36" s="53">
        <f t="shared" si="46"/>
        <v>6.9774576305906466</v>
      </c>
      <c r="AU36" s="54"/>
      <c r="AV36" s="53"/>
      <c r="AW36" s="53"/>
      <c r="AX36" s="53"/>
      <c r="AY36" s="53"/>
      <c r="AZ36" s="53"/>
      <c r="BD36" s="23"/>
      <c r="BE36" s="51">
        <v>22</v>
      </c>
      <c r="BF36" s="1">
        <f t="shared" si="36"/>
        <v>5.8000000000000052</v>
      </c>
      <c r="BS36">
        <f t="shared" si="4"/>
        <v>22</v>
      </c>
      <c r="BT36">
        <f t="shared" si="5"/>
        <v>9.48</v>
      </c>
      <c r="BU36" s="19">
        <f t="shared" si="32"/>
        <v>0.75238095238095248</v>
      </c>
    </row>
    <row r="37" spans="1:73" x14ac:dyDescent="0.25">
      <c r="A37" s="125"/>
      <c r="B37" s="70">
        <f t="shared" si="6"/>
        <v>23</v>
      </c>
      <c r="C37" s="71">
        <f t="shared" si="7"/>
        <v>0.82063492063492061</v>
      </c>
      <c r="E37" s="31">
        <f t="shared" si="8"/>
        <v>10.632530120481928</v>
      </c>
      <c r="F37" s="31">
        <f t="shared" si="0"/>
        <v>1.5979540231962908E-3</v>
      </c>
      <c r="H37" s="31">
        <f t="shared" si="9"/>
        <v>1.6990294282779837E-2</v>
      </c>
      <c r="I37" s="31">
        <f t="shared" si="10"/>
        <v>113.05069676295544</v>
      </c>
      <c r="J37" s="31">
        <f t="shared" si="11"/>
        <v>2.5534570602492118E-6</v>
      </c>
      <c r="K37" s="31"/>
      <c r="L37" s="74">
        <f t="shared" si="37"/>
        <v>23</v>
      </c>
      <c r="M37" s="31">
        <f t="shared" si="38"/>
        <v>0.82063492063492061</v>
      </c>
      <c r="N37" s="35">
        <f t="shared" si="39"/>
        <v>0.72911781723408675</v>
      </c>
      <c r="O37" s="35"/>
      <c r="P37" s="35">
        <f t="shared" si="15"/>
        <v>8.375380214878915E-3</v>
      </c>
      <c r="Q37" s="35">
        <f t="shared" si="16"/>
        <v>-9.1517103400833855E-2</v>
      </c>
      <c r="S37" s="52">
        <f t="shared" si="33"/>
        <v>23</v>
      </c>
      <c r="T37" s="53">
        <v>10.34</v>
      </c>
      <c r="U37" s="53">
        <v>10.3</v>
      </c>
      <c r="V37" s="53">
        <v>9.36</v>
      </c>
      <c r="W37" s="53">
        <v>10.029999999999999</v>
      </c>
      <c r="X37" s="53">
        <v>9.08</v>
      </c>
      <c r="Y37" s="53">
        <v>8.1300000000000008</v>
      </c>
      <c r="Z37" s="53"/>
      <c r="AA37" s="54"/>
      <c r="AC37" s="20">
        <f t="shared" si="17"/>
        <v>23</v>
      </c>
      <c r="AD37" s="26">
        <f t="shared" si="18"/>
        <v>0.82063492063492061</v>
      </c>
      <c r="AE37" s="26">
        <f t="shared" si="18"/>
        <v>0.8129439621152329</v>
      </c>
      <c r="AF37" s="26">
        <f t="shared" si="19"/>
        <v>0.64462809917355368</v>
      </c>
      <c r="AG37" s="26">
        <f t="shared" si="19"/>
        <v>0.69459833795013848</v>
      </c>
      <c r="AH37" s="26">
        <f t="shared" si="19"/>
        <v>0.77540563620836889</v>
      </c>
      <c r="AI37" s="26">
        <f t="shared" si="20"/>
        <v>0.71441124780316345</v>
      </c>
      <c r="AJ37" s="26"/>
      <c r="AK37" s="27"/>
      <c r="AM37" s="52">
        <f t="shared" si="23"/>
        <v>23</v>
      </c>
      <c r="AN37" s="53">
        <f t="shared" si="24"/>
        <v>9.1868844971494923</v>
      </c>
      <c r="AO37" s="53">
        <f t="shared" si="42"/>
        <v>9.2379227443558793</v>
      </c>
      <c r="AP37" s="53">
        <f t="shared" si="43"/>
        <v>10.58679070623894</v>
      </c>
      <c r="AQ37" s="53">
        <f t="shared" si="44"/>
        <v>10.528461280860212</v>
      </c>
      <c r="AR37" s="53">
        <f t="shared" si="45"/>
        <v>8.5379696398111573</v>
      </c>
      <c r="AS37" s="53">
        <f>($B$8+$AM37*$B$7)*Y$15</f>
        <v>8.2973607601239081</v>
      </c>
      <c r="AT37" s="53"/>
      <c r="AU37" s="54"/>
      <c r="AV37" s="53"/>
      <c r="AW37" s="53"/>
      <c r="AX37" s="53"/>
      <c r="AY37" s="53"/>
      <c r="AZ37" s="53"/>
      <c r="BD37" s="23"/>
      <c r="BE37" s="51">
        <v>23</v>
      </c>
      <c r="BF37" s="1">
        <f t="shared" si="36"/>
        <v>5.600000000000005</v>
      </c>
      <c r="BS37">
        <f t="shared" si="4"/>
        <v>23</v>
      </c>
      <c r="BT37">
        <f t="shared" si="5"/>
        <v>10.34</v>
      </c>
      <c r="BU37" s="19">
        <f t="shared" si="32"/>
        <v>0.82063492063492061</v>
      </c>
    </row>
    <row r="38" spans="1:73" ht="15.75" thickBot="1" x14ac:dyDescent="0.3">
      <c r="A38" s="134"/>
      <c r="B38" s="70">
        <f t="shared" si="6"/>
        <v>24</v>
      </c>
      <c r="C38" s="71">
        <f t="shared" si="7"/>
        <v>0.80476190476190479</v>
      </c>
      <c r="E38" s="31">
        <f t="shared" si="8"/>
        <v>11.632530120481928</v>
      </c>
      <c r="F38" s="31">
        <f t="shared" si="0"/>
        <v>-1.4275061849819526E-2</v>
      </c>
      <c r="H38" s="31">
        <f t="shared" si="9"/>
        <v>-0.16605508693976809</v>
      </c>
      <c r="I38" s="31">
        <f t="shared" si="10"/>
        <v>135.31575700391929</v>
      </c>
      <c r="J38" s="31">
        <f t="shared" si="11"/>
        <v>2.0377739081617286E-4</v>
      </c>
      <c r="K38" s="31"/>
      <c r="L38" s="74">
        <f t="shared" si="37"/>
        <v>24</v>
      </c>
      <c r="M38" s="31">
        <f t="shared" si="38"/>
        <v>0.80476190476190479</v>
      </c>
      <c r="N38" s="35">
        <f t="shared" si="39"/>
        <v>0.72066083208015597</v>
      </c>
      <c r="O38" s="35"/>
      <c r="P38" s="35">
        <f t="shared" si="15"/>
        <v>7.0729904262207986E-3</v>
      </c>
      <c r="Q38" s="35">
        <f t="shared" si="16"/>
        <v>-8.4101072681748823E-2</v>
      </c>
      <c r="S38" s="75">
        <f t="shared" si="33"/>
        <v>24</v>
      </c>
      <c r="T38" s="55">
        <v>10.14</v>
      </c>
      <c r="U38" s="55">
        <v>10.31</v>
      </c>
      <c r="V38" s="55">
        <v>10.07</v>
      </c>
      <c r="W38" s="55">
        <v>10.01</v>
      </c>
      <c r="X38" s="55">
        <v>10.45</v>
      </c>
      <c r="Y38" s="55">
        <v>7.2</v>
      </c>
      <c r="Z38" s="55"/>
      <c r="AA38" s="56"/>
      <c r="AC38" s="25">
        <f t="shared" si="17"/>
        <v>24</v>
      </c>
      <c r="AD38" s="28">
        <f t="shared" si="18"/>
        <v>0.80476190476190479</v>
      </c>
      <c r="AE38" s="28">
        <f t="shared" si="18"/>
        <v>0.81373322809786908</v>
      </c>
      <c r="AF38" s="28">
        <f t="shared" si="19"/>
        <v>0.69352617079889811</v>
      </c>
      <c r="AG38" s="28">
        <f t="shared" si="19"/>
        <v>0.69321329639889195</v>
      </c>
      <c r="AH38" s="28">
        <f t="shared" si="19"/>
        <v>0.89239965841161384</v>
      </c>
      <c r="AI38" s="28">
        <f t="shared" si="20"/>
        <v>0.63268892794376097</v>
      </c>
      <c r="AJ38" s="28"/>
      <c r="AK38" s="29"/>
      <c r="AM38" s="75">
        <f t="shared" si="23"/>
        <v>24</v>
      </c>
      <c r="AN38" s="55">
        <f t="shared" si="24"/>
        <v>9.0803264842099658</v>
      </c>
      <c r="AO38" s="55">
        <f t="shared" si="42"/>
        <v>9.1307727424555765</v>
      </c>
      <c r="AP38" s="55">
        <f t="shared" si="43"/>
        <v>10.463995281803864</v>
      </c>
      <c r="AQ38" s="55">
        <f t="shared" si="44"/>
        <v>10.406342415237452</v>
      </c>
      <c r="AR38" s="55">
        <f t="shared" si="45"/>
        <v>8.4389383436586272</v>
      </c>
      <c r="AS38" s="55">
        <f>($B$8+$AM38*$B$7)*Y$15</f>
        <v>8.2011202690721756</v>
      </c>
      <c r="AT38" s="55"/>
      <c r="AU38" s="56"/>
      <c r="AV38" s="53"/>
      <c r="AW38" s="53"/>
      <c r="AX38" s="53"/>
      <c r="AY38" s="53"/>
      <c r="AZ38" s="53"/>
      <c r="BD38" s="23"/>
      <c r="BE38" s="51">
        <v>24</v>
      </c>
      <c r="BF38" s="1">
        <f t="shared" si="36"/>
        <v>5.4000000000000048</v>
      </c>
      <c r="BS38">
        <f t="shared" si="4"/>
        <v>24</v>
      </c>
      <c r="BT38">
        <f t="shared" si="5"/>
        <v>10.14</v>
      </c>
      <c r="BU38" s="19">
        <f t="shared" si="32"/>
        <v>0.80476190476190479</v>
      </c>
    </row>
    <row r="39" spans="1:73" x14ac:dyDescent="0.25">
      <c r="A39" s="287" t="s">
        <v>15</v>
      </c>
      <c r="B39" s="126">
        <f>AC15</f>
        <v>1</v>
      </c>
      <c r="C39" s="127">
        <f>AE15</f>
        <v>1</v>
      </c>
      <c r="E39" s="31">
        <f t="shared" si="8"/>
        <v>-11.367469879518072</v>
      </c>
      <c r="F39" s="31">
        <f t="shared" si="0"/>
        <v>0.18096303338827568</v>
      </c>
      <c r="H39" s="31">
        <f t="shared" si="9"/>
        <v>-2.0570918313474471</v>
      </c>
      <c r="I39" s="31">
        <f t="shared" si="10"/>
        <v>129.21937146175063</v>
      </c>
      <c r="J39" s="31">
        <f t="shared" si="11"/>
        <v>3.2747619453086178E-2</v>
      </c>
      <c r="K39" s="31"/>
      <c r="L39" s="74">
        <f t="shared" si="37"/>
        <v>1</v>
      </c>
      <c r="M39" s="31">
        <f t="shared" si="38"/>
        <v>1</v>
      </c>
      <c r="N39" s="35">
        <f t="shared" si="39"/>
        <v>0.91517149062056402</v>
      </c>
      <c r="O39" s="35"/>
      <c r="P39" s="35">
        <f t="shared" si="15"/>
        <v>7.1958760035370582E-3</v>
      </c>
      <c r="Q39" s="35">
        <f t="shared" si="16"/>
        <v>-8.4828509379435979E-2</v>
      </c>
      <c r="BD39" s="23"/>
      <c r="BE39" s="51"/>
      <c r="BF39" s="1"/>
      <c r="BS39">
        <f>BS15</f>
        <v>1</v>
      </c>
      <c r="BT39" s="19">
        <f t="shared" ref="BT39:BT62" si="47">U15</f>
        <v>12.67</v>
      </c>
      <c r="BU39" s="19">
        <f>AE15</f>
        <v>1</v>
      </c>
    </row>
    <row r="40" spans="1:73" ht="21" customHeight="1" x14ac:dyDescent="0.25">
      <c r="A40" s="288"/>
      <c r="B40" s="99">
        <f t="shared" ref="B40:B62" si="48">AC16</f>
        <v>2</v>
      </c>
      <c r="C40" s="71">
        <f t="shared" ref="C40:C62" si="49">AE16</f>
        <v>0.94080505130228886</v>
      </c>
      <c r="E40" s="31">
        <f t="shared" si="8"/>
        <v>-10.367469879518072</v>
      </c>
      <c r="F40" s="31">
        <f t="shared" si="0"/>
        <v>0.12176808469056455</v>
      </c>
      <c r="H40" s="31">
        <f t="shared" si="9"/>
        <v>-1.2624269503160337</v>
      </c>
      <c r="I40" s="31">
        <f t="shared" si="10"/>
        <v>107.48443170271447</v>
      </c>
      <c r="J40" s="31">
        <f t="shared" si="11"/>
        <v>1.4827466449208501E-2</v>
      </c>
      <c r="K40" s="31"/>
      <c r="L40" s="74">
        <f t="shared" si="37"/>
        <v>2</v>
      </c>
      <c r="M40" s="31">
        <f t="shared" si="38"/>
        <v>0.94080505130228886</v>
      </c>
      <c r="N40" s="35">
        <f t="shared" si="39"/>
        <v>0.90671450546663324</v>
      </c>
      <c r="O40" s="35"/>
      <c r="P40" s="35">
        <f t="shared" si="15"/>
        <v>1.1621653153729373E-3</v>
      </c>
      <c r="Q40" s="35">
        <f t="shared" si="16"/>
        <v>-3.4090545835655628E-2</v>
      </c>
      <c r="S40" s="57"/>
      <c r="T40" s="19"/>
      <c r="U40" s="19"/>
      <c r="V40" s="19"/>
      <c r="W40" s="19"/>
      <c r="X40" s="19"/>
      <c r="Y40" s="19"/>
      <c r="Z40" s="19"/>
      <c r="AA40" s="19"/>
      <c r="AM40" s="57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S40">
        <f t="shared" ref="BS40:BS103" si="50">BS16</f>
        <v>2</v>
      </c>
      <c r="BT40" s="19">
        <f t="shared" si="47"/>
        <v>11.92</v>
      </c>
      <c r="BU40" s="19">
        <f t="shared" ref="BU40:BU62" si="51">AE16</f>
        <v>0.94080505130228886</v>
      </c>
    </row>
    <row r="41" spans="1:73" x14ac:dyDescent="0.25">
      <c r="A41" s="288"/>
      <c r="B41" s="99">
        <f t="shared" si="48"/>
        <v>3</v>
      </c>
      <c r="C41" s="71">
        <f t="shared" si="49"/>
        <v>0.90292028413575376</v>
      </c>
      <c r="E41" s="31">
        <f t="shared" si="8"/>
        <v>-9.3674698795180724</v>
      </c>
      <c r="F41" s="31">
        <f t="shared" si="0"/>
        <v>8.3883317524029444E-2</v>
      </c>
      <c r="H41" s="31">
        <f t="shared" si="9"/>
        <v>-0.78577445030039628</v>
      </c>
      <c r="I41" s="31">
        <f t="shared" si="10"/>
        <v>87.749491943678336</v>
      </c>
      <c r="J41" s="31">
        <f t="shared" si="11"/>
        <v>7.036410958837145E-3</v>
      </c>
      <c r="K41" s="31"/>
      <c r="L41" s="74">
        <f t="shared" si="37"/>
        <v>3</v>
      </c>
      <c r="M41" s="31">
        <f t="shared" si="38"/>
        <v>0.90292028413575376</v>
      </c>
      <c r="N41" s="35">
        <f t="shared" si="39"/>
        <v>0.89825752031270245</v>
      </c>
      <c r="O41" s="35"/>
      <c r="P41" s="35">
        <f t="shared" si="15"/>
        <v>2.174136646955605E-5</v>
      </c>
      <c r="Q41" s="35">
        <f t="shared" si="16"/>
        <v>-4.662763823051308E-3</v>
      </c>
      <c r="BS41">
        <f t="shared" si="50"/>
        <v>3</v>
      </c>
      <c r="BT41" s="19">
        <f t="shared" si="47"/>
        <v>11.44</v>
      </c>
      <c r="BU41" s="19">
        <f t="shared" si="51"/>
        <v>0.90292028413575376</v>
      </c>
    </row>
    <row r="42" spans="1:73" x14ac:dyDescent="0.25">
      <c r="A42" s="288"/>
      <c r="B42" s="99">
        <f t="shared" si="48"/>
        <v>4</v>
      </c>
      <c r="C42" s="71">
        <f t="shared" si="49"/>
        <v>0.90370955011838983</v>
      </c>
      <c r="E42" s="31">
        <f t="shared" si="8"/>
        <v>-8.3674698795180724</v>
      </c>
      <c r="F42" s="31">
        <f t="shared" si="0"/>
        <v>8.4672583506665511E-2</v>
      </c>
      <c r="H42" s="31">
        <f t="shared" si="9"/>
        <v>-0.70849529211300244</v>
      </c>
      <c r="I42" s="31">
        <f t="shared" si="10"/>
        <v>70.014552184642184</v>
      </c>
      <c r="J42" s="31">
        <f t="shared" si="11"/>
        <v>7.1694463976932441E-3</v>
      </c>
      <c r="K42" s="31"/>
      <c r="L42" s="74">
        <f t="shared" si="37"/>
        <v>4</v>
      </c>
      <c r="M42" s="31">
        <f t="shared" si="38"/>
        <v>0.90370955011838983</v>
      </c>
      <c r="N42" s="35">
        <f t="shared" si="39"/>
        <v>0.88980053515877167</v>
      </c>
      <c r="O42" s="35"/>
      <c r="P42" s="35">
        <f t="shared" si="15"/>
        <v>1.9346069714688176E-4</v>
      </c>
      <c r="Q42" s="35">
        <f t="shared" si="16"/>
        <v>-1.390901495961816E-2</v>
      </c>
      <c r="AN42" s="19"/>
      <c r="AO42" s="19"/>
      <c r="AP42" s="19"/>
      <c r="AQ42" s="19"/>
      <c r="AR42" s="19"/>
      <c r="AS42" s="19"/>
      <c r="AT42" s="19"/>
      <c r="BS42">
        <f t="shared" si="50"/>
        <v>4</v>
      </c>
      <c r="BT42" s="19">
        <f t="shared" si="47"/>
        <v>11.45</v>
      </c>
      <c r="BU42" s="19">
        <f t="shared" si="51"/>
        <v>0.90370955011838983</v>
      </c>
    </row>
    <row r="43" spans="1:73" x14ac:dyDescent="0.25">
      <c r="A43" s="288"/>
      <c r="B43" s="99">
        <f t="shared" si="48"/>
        <v>5</v>
      </c>
      <c r="C43" s="71">
        <f t="shared" si="49"/>
        <v>0.94475138121546964</v>
      </c>
      <c r="E43" s="31">
        <f t="shared" si="8"/>
        <v>-7.3674698795180724</v>
      </c>
      <c r="F43" s="31">
        <f t="shared" si="0"/>
        <v>0.12571441460374533</v>
      </c>
      <c r="H43" s="31">
        <f t="shared" si="9"/>
        <v>-0.92619716301434063</v>
      </c>
      <c r="I43" s="31">
        <f t="shared" si="10"/>
        <v>54.279612425606039</v>
      </c>
      <c r="J43" s="31">
        <f t="shared" si="11"/>
        <v>1.5804114039162376E-2</v>
      </c>
      <c r="K43" s="31"/>
      <c r="L43" s="74">
        <f t="shared" si="37"/>
        <v>5</v>
      </c>
      <c r="M43" s="31">
        <f t="shared" si="38"/>
        <v>0.94475138121546964</v>
      </c>
      <c r="N43" s="35">
        <f t="shared" si="39"/>
        <v>0.88134355000484088</v>
      </c>
      <c r="O43" s="35"/>
      <c r="P43" s="35">
        <f t="shared" si="15"/>
        <v>4.0205530588355871E-3</v>
      </c>
      <c r="Q43" s="35">
        <f t="shared" si="16"/>
        <v>-6.3407831210628762E-2</v>
      </c>
      <c r="BS43">
        <f t="shared" si="50"/>
        <v>5</v>
      </c>
      <c r="BT43" s="19">
        <f t="shared" si="47"/>
        <v>11.97</v>
      </c>
      <c r="BU43" s="19">
        <f t="shared" si="51"/>
        <v>0.94475138121546964</v>
      </c>
    </row>
    <row r="44" spans="1:73" x14ac:dyDescent="0.25">
      <c r="A44" s="288"/>
      <c r="B44" s="99">
        <f t="shared" si="48"/>
        <v>6</v>
      </c>
      <c r="C44" s="71">
        <f t="shared" si="49"/>
        <v>1.0370955011838989</v>
      </c>
      <c r="E44" s="31">
        <f t="shared" si="8"/>
        <v>-6.3674698795180724</v>
      </c>
      <c r="F44" s="31">
        <f t="shared" si="0"/>
        <v>0.21805853457217461</v>
      </c>
      <c r="H44" s="31">
        <f t="shared" si="9"/>
        <v>-1.3884811508601722</v>
      </c>
      <c r="I44" s="31">
        <f t="shared" si="10"/>
        <v>40.544672666569895</v>
      </c>
      <c r="J44" s="31">
        <f t="shared" si="11"/>
        <v>4.7549524499764267E-2</v>
      </c>
      <c r="K44" s="31"/>
      <c r="L44" s="74">
        <f t="shared" si="37"/>
        <v>6</v>
      </c>
      <c r="M44" s="31">
        <f t="shared" si="38"/>
        <v>1.0370955011838989</v>
      </c>
      <c r="N44" s="35">
        <f t="shared" si="39"/>
        <v>0.8728865648509101</v>
      </c>
      <c r="O44" s="35"/>
      <c r="P44" s="35">
        <f t="shared" si="15"/>
        <v>2.6964574771611578E-2</v>
      </c>
      <c r="Q44" s="35">
        <f t="shared" si="16"/>
        <v>-0.16420893633298883</v>
      </c>
      <c r="BS44">
        <f t="shared" si="50"/>
        <v>6</v>
      </c>
      <c r="BT44" s="19">
        <f t="shared" si="47"/>
        <v>13.14</v>
      </c>
      <c r="BU44" s="19">
        <f t="shared" si="51"/>
        <v>1.0370955011838989</v>
      </c>
    </row>
    <row r="45" spans="1:73" x14ac:dyDescent="0.25">
      <c r="A45" s="288"/>
      <c r="B45" s="99">
        <f t="shared" si="48"/>
        <v>7</v>
      </c>
      <c r="C45" s="71">
        <f t="shared" si="49"/>
        <v>0.96606156274664567</v>
      </c>
      <c r="E45" s="31">
        <f t="shared" si="8"/>
        <v>-5.3674698795180724</v>
      </c>
      <c r="F45" s="31">
        <f t="shared" si="0"/>
        <v>0.14702459613492136</v>
      </c>
      <c r="H45" s="31">
        <f t="shared" si="9"/>
        <v>-0.78915009130249958</v>
      </c>
      <c r="I45" s="31">
        <f t="shared" si="10"/>
        <v>28.80973290753375</v>
      </c>
      <c r="J45" s="31">
        <f t="shared" si="11"/>
        <v>2.1616231868636732E-2</v>
      </c>
      <c r="K45" s="31"/>
      <c r="L45" s="74">
        <f t="shared" si="37"/>
        <v>7</v>
      </c>
      <c r="M45" s="31">
        <f t="shared" si="38"/>
        <v>0.96606156274664567</v>
      </c>
      <c r="N45" s="35">
        <f t="shared" si="39"/>
        <v>0.86442957969697931</v>
      </c>
      <c r="O45" s="35"/>
      <c r="P45" s="35">
        <f t="shared" si="15"/>
        <v>1.032905997860767E-2</v>
      </c>
      <c r="Q45" s="35">
        <f t="shared" si="16"/>
        <v>-0.10163198304966636</v>
      </c>
      <c r="BS45">
        <f t="shared" si="50"/>
        <v>7</v>
      </c>
      <c r="BT45" s="19">
        <f t="shared" si="47"/>
        <v>12.24</v>
      </c>
      <c r="BU45" s="19">
        <f t="shared" si="51"/>
        <v>0.96606156274664567</v>
      </c>
    </row>
    <row r="46" spans="1:73" x14ac:dyDescent="0.25">
      <c r="A46" s="125"/>
      <c r="B46" s="99">
        <f t="shared" si="48"/>
        <v>8</v>
      </c>
      <c r="C46" s="71">
        <f t="shared" si="49"/>
        <v>0.95422257300710334</v>
      </c>
      <c r="E46" s="31">
        <f t="shared" si="8"/>
        <v>-4.3674698795180724</v>
      </c>
      <c r="F46" s="31">
        <f t="shared" si="0"/>
        <v>0.13518560639537902</v>
      </c>
      <c r="H46" s="31">
        <f t="shared" si="9"/>
        <v>-0.59041906407620359</v>
      </c>
      <c r="I46" s="31">
        <f t="shared" si="10"/>
        <v>19.074793148497605</v>
      </c>
      <c r="J46" s="31">
        <f t="shared" si="11"/>
        <v>1.8275148176486341E-2</v>
      </c>
      <c r="K46" s="31"/>
      <c r="L46" s="74">
        <f t="shared" si="37"/>
        <v>8</v>
      </c>
      <c r="M46" s="31">
        <f t="shared" si="38"/>
        <v>0.95422257300710334</v>
      </c>
      <c r="N46" s="35">
        <f t="shared" si="39"/>
        <v>0.85597259454304853</v>
      </c>
      <c r="O46" s="35"/>
      <c r="P46" s="35">
        <f t="shared" si="15"/>
        <v>9.6530582681872337E-3</v>
      </c>
      <c r="Q46" s="35">
        <f t="shared" si="16"/>
        <v>-9.824997846405481E-2</v>
      </c>
      <c r="BS46">
        <f t="shared" si="50"/>
        <v>8</v>
      </c>
      <c r="BT46" s="19">
        <f t="shared" si="47"/>
        <v>12.09</v>
      </c>
      <c r="BU46" s="19">
        <f t="shared" si="51"/>
        <v>0.95422257300710334</v>
      </c>
    </row>
    <row r="47" spans="1:73" ht="15.75" thickBot="1" x14ac:dyDescent="0.3">
      <c r="A47" s="125"/>
      <c r="B47" s="32">
        <f t="shared" si="48"/>
        <v>9</v>
      </c>
      <c r="C47" s="69">
        <f t="shared" si="49"/>
        <v>0.83425414364640882</v>
      </c>
      <c r="E47" s="31">
        <f t="shared" ref="E47:E78" si="52">B47-$B$11</f>
        <v>-3.3674698795180724</v>
      </c>
      <c r="F47" s="31">
        <f t="shared" ref="F47:F78" si="53">C47-$C$11</f>
        <v>1.5217177034684504E-2</v>
      </c>
      <c r="H47" s="31">
        <f t="shared" si="9"/>
        <v>-5.1243385315594206E-2</v>
      </c>
      <c r="I47" s="31">
        <f t="shared" si="10"/>
        <v>11.339853389461462</v>
      </c>
      <c r="J47" s="31">
        <f t="shared" si="11"/>
        <v>2.3156247690492946E-4</v>
      </c>
      <c r="K47" s="31"/>
      <c r="L47" s="74">
        <f t="shared" si="37"/>
        <v>9</v>
      </c>
      <c r="M47" s="31">
        <f t="shared" si="38"/>
        <v>0.83425414364640882</v>
      </c>
      <c r="N47" s="35">
        <f t="shared" si="39"/>
        <v>0.84751560938911774</v>
      </c>
      <c r="O47" s="35"/>
      <c r="P47" s="35">
        <f t="shared" si="15"/>
        <v>1.7586647364504229E-4</v>
      </c>
      <c r="Q47" s="35">
        <f t="shared" si="16"/>
        <v>1.3261465742708922E-2</v>
      </c>
      <c r="BS47">
        <f t="shared" si="50"/>
        <v>9</v>
      </c>
      <c r="BT47" s="19">
        <f t="shared" si="47"/>
        <v>10.57</v>
      </c>
      <c r="BU47" s="19">
        <f t="shared" si="51"/>
        <v>0.83425414364640882</v>
      </c>
    </row>
    <row r="48" spans="1:73" ht="16.5" thickTop="1" thickBot="1" x14ac:dyDescent="0.3">
      <c r="A48" s="125"/>
      <c r="B48" s="32">
        <f t="shared" si="48"/>
        <v>10</v>
      </c>
      <c r="C48" s="69">
        <f t="shared" si="49"/>
        <v>0.87371744277821628</v>
      </c>
      <c r="E48" s="31">
        <f t="shared" si="52"/>
        <v>-2.3674698795180724</v>
      </c>
      <c r="F48" s="31">
        <f t="shared" si="53"/>
        <v>5.4680476166491965E-2</v>
      </c>
      <c r="H48" s="31">
        <f t="shared" si="9"/>
        <v>-0.12945438032187556</v>
      </c>
      <c r="I48" s="31">
        <f t="shared" si="10"/>
        <v>5.6049136304253162</v>
      </c>
      <c r="J48" s="31">
        <f t="shared" si="11"/>
        <v>2.9899544737942959E-3</v>
      </c>
      <c r="K48" s="31"/>
      <c r="L48" s="74">
        <f t="shared" si="37"/>
        <v>10</v>
      </c>
      <c r="M48" s="31">
        <f t="shared" si="38"/>
        <v>0.87371744277821628</v>
      </c>
      <c r="N48" s="35">
        <f t="shared" si="39"/>
        <v>0.83905862423518696</v>
      </c>
      <c r="O48" s="35"/>
      <c r="P48" s="35">
        <f t="shared" si="15"/>
        <v>1.2012337027986332E-3</v>
      </c>
      <c r="Q48" s="35">
        <f t="shared" si="16"/>
        <v>-3.4658818543029324E-2</v>
      </c>
      <c r="AM48" s="277" t="s">
        <v>362</v>
      </c>
      <c r="AN48" s="278"/>
      <c r="AO48" s="278"/>
      <c r="AP48" s="278"/>
      <c r="AQ48" s="278"/>
      <c r="AR48" s="279"/>
      <c r="AT48" s="277" t="s">
        <v>363</v>
      </c>
      <c r="AU48" s="278"/>
      <c r="AV48" s="278"/>
      <c r="AW48" s="278"/>
      <c r="AX48" s="278"/>
      <c r="AY48" s="279"/>
      <c r="BS48">
        <f t="shared" si="50"/>
        <v>10</v>
      </c>
      <c r="BT48" s="19">
        <f t="shared" si="47"/>
        <v>11.07</v>
      </c>
      <c r="BU48" s="19">
        <f t="shared" si="51"/>
        <v>0.87371744277821628</v>
      </c>
    </row>
    <row r="49" spans="1:86" ht="15.75" thickBot="1" x14ac:dyDescent="0.3">
      <c r="A49" s="125"/>
      <c r="B49" s="32">
        <f t="shared" si="48"/>
        <v>11</v>
      </c>
      <c r="C49" s="69">
        <f t="shared" si="49"/>
        <v>0.93370165745856359</v>
      </c>
      <c r="E49" s="31">
        <f t="shared" si="52"/>
        <v>-1.3674698795180724</v>
      </c>
      <c r="F49" s="31">
        <f t="shared" si="53"/>
        <v>0.11466469084683928</v>
      </c>
      <c r="H49" s="31">
        <f t="shared" si="9"/>
        <v>-0.15680051097730432</v>
      </c>
      <c r="I49" s="31">
        <f t="shared" si="10"/>
        <v>1.8699738713891716</v>
      </c>
      <c r="J49" s="31">
        <f t="shared" si="11"/>
        <v>1.3147991327001228E-2</v>
      </c>
      <c r="K49" s="31"/>
      <c r="L49" s="74">
        <f t="shared" si="37"/>
        <v>11</v>
      </c>
      <c r="M49" s="31">
        <f t="shared" si="38"/>
        <v>0.93370165745856359</v>
      </c>
      <c r="N49" s="35">
        <f t="shared" si="39"/>
        <v>0.83060163908125617</v>
      </c>
      <c r="O49" s="35"/>
      <c r="P49" s="35">
        <f t="shared" si="15"/>
        <v>1.0629613789401129E-2</v>
      </c>
      <c r="Q49" s="35">
        <f t="shared" si="16"/>
        <v>-0.10310001837730742</v>
      </c>
      <c r="AM49" s="20"/>
      <c r="AN49" s="87" t="s">
        <v>358</v>
      </c>
      <c r="AO49" s="87" t="s">
        <v>359</v>
      </c>
      <c r="AP49" s="87" t="s">
        <v>360</v>
      </c>
      <c r="AQ49" s="87" t="s">
        <v>361</v>
      </c>
      <c r="AR49" s="24"/>
      <c r="AT49" s="20"/>
      <c r="AU49" s="87" t="s">
        <v>358</v>
      </c>
      <c r="AV49" s="87" t="s">
        <v>359</v>
      </c>
      <c r="AW49" s="87" t="s">
        <v>360</v>
      </c>
      <c r="AX49" s="87" t="s">
        <v>361</v>
      </c>
      <c r="AY49" s="24"/>
      <c r="BS49">
        <f t="shared" si="50"/>
        <v>11</v>
      </c>
      <c r="BT49" s="19">
        <f t="shared" si="47"/>
        <v>11.83</v>
      </c>
      <c r="BU49" s="19">
        <f t="shared" si="51"/>
        <v>0.93370165745856359</v>
      </c>
      <c r="CD49" t="s">
        <v>353</v>
      </c>
      <c r="CG49" s="86" t="s">
        <v>354</v>
      </c>
      <c r="CH49" s="86" t="s">
        <v>356</v>
      </c>
    </row>
    <row r="50" spans="1:86" ht="15.75" thickTop="1" x14ac:dyDescent="0.25">
      <c r="A50" s="125"/>
      <c r="B50" s="32">
        <f t="shared" si="48"/>
        <v>12</v>
      </c>
      <c r="C50" s="69">
        <f t="shared" si="49"/>
        <v>0.87766377269139695</v>
      </c>
      <c r="E50" s="31">
        <f t="shared" si="52"/>
        <v>-0.36746987951807242</v>
      </c>
      <c r="F50" s="31">
        <f t="shared" si="53"/>
        <v>5.8626806079672633E-2</v>
      </c>
      <c r="H50" s="31">
        <f t="shared" si="9"/>
        <v>-2.1543585366626698E-2</v>
      </c>
      <c r="I50" s="31">
        <f t="shared" si="10"/>
        <v>0.13503411235302665</v>
      </c>
      <c r="J50" s="31">
        <f t="shared" si="11"/>
        <v>3.4371023911035402E-3</v>
      </c>
      <c r="K50" s="31"/>
      <c r="L50" s="74">
        <f t="shared" si="37"/>
        <v>12</v>
      </c>
      <c r="M50" s="31">
        <f t="shared" si="38"/>
        <v>0.87766377269139695</v>
      </c>
      <c r="N50" s="35">
        <f t="shared" si="39"/>
        <v>0.82214465392732539</v>
      </c>
      <c r="O50" s="35"/>
      <c r="P50" s="35">
        <f t="shared" si="15"/>
        <v>3.0823725483390832E-3</v>
      </c>
      <c r="Q50" s="35">
        <f t="shared" si="16"/>
        <v>-5.5519118764071562E-2</v>
      </c>
      <c r="AC50" s="277" t="s">
        <v>35</v>
      </c>
      <c r="AD50" s="278"/>
      <c r="AE50" s="278"/>
      <c r="AF50" s="278"/>
      <c r="AG50" s="278"/>
      <c r="AH50" s="278"/>
      <c r="AI50" s="278"/>
      <c r="AJ50" s="278"/>
      <c r="AK50" s="279"/>
      <c r="AM50" s="20">
        <f>AM15</f>
        <v>1</v>
      </c>
      <c r="AN50" s="53">
        <f t="shared" ref="AN50:AN73" si="54">(($B$8+$AM15*$B$7)-$Q$9*2)*Y$15</f>
        <v>8.7339458944195094</v>
      </c>
      <c r="AO50" s="53">
        <f t="shared" ref="AO50:AO73" si="55">(($B$8+$AM15*$B$7)-$Q$9*1)*Y$15</f>
        <v>9.5742987288407644</v>
      </c>
      <c r="AP50" s="53">
        <f t="shared" ref="AP50:AP73" si="56">(($B$8+$AM15*$B$7)+$Q$9*1)*Y$15</f>
        <v>11.255004397683274</v>
      </c>
      <c r="AQ50" s="53">
        <f t="shared" ref="AQ50:AQ73" si="57">(($B$8+$AM15*$B$7)+$Q$9*2)*Y$15</f>
        <v>12.095357232104529</v>
      </c>
      <c r="AR50" s="24"/>
      <c r="AT50" s="20">
        <f>AM50</f>
        <v>1</v>
      </c>
      <c r="AU50" s="53">
        <f t="shared" ref="AU50:AU73" si="58">(($B$8+$AM15*$B$7)-2*$Q$9)*AA$15</f>
        <v>6.3240522117765163</v>
      </c>
      <c r="AV50" s="53">
        <f t="shared" ref="AV50:AV73" si="59">(($B$8+$AM15*$B$7)-1*$Q$9)*AA$15</f>
        <v>6.9325326472449813</v>
      </c>
      <c r="AW50" s="53">
        <f t="shared" ref="AW50:AW73" si="60">(($B$8+$AM15*$B$7)+1*$Q$9)*AA$15</f>
        <v>8.149493518181913</v>
      </c>
      <c r="AX50" s="53">
        <f t="shared" ref="AX50:AX73" si="61">(($B$8+$AM15*$B$7)+2*$Q$9)*AA$15</f>
        <v>8.7579739536503798</v>
      </c>
      <c r="AY50" s="24"/>
      <c r="BS50">
        <f t="shared" si="50"/>
        <v>12</v>
      </c>
      <c r="BT50" s="19">
        <f t="shared" si="47"/>
        <v>11.12</v>
      </c>
      <c r="BU50" s="19">
        <f t="shared" si="51"/>
        <v>0.87766377269139695</v>
      </c>
      <c r="CD50">
        <v>-0.2</v>
      </c>
      <c r="CG50" s="83">
        <v>-0.2</v>
      </c>
      <c r="CH50" s="84">
        <v>1</v>
      </c>
    </row>
    <row r="51" spans="1:86" x14ac:dyDescent="0.25">
      <c r="A51" s="125"/>
      <c r="B51" s="32">
        <f t="shared" si="48"/>
        <v>13</v>
      </c>
      <c r="C51" s="69">
        <f t="shared" si="49"/>
        <v>0.86661404893449101</v>
      </c>
      <c r="E51" s="31">
        <f t="shared" si="52"/>
        <v>0.63253012048192758</v>
      </c>
      <c r="F51" s="31">
        <f t="shared" si="53"/>
        <v>4.7577082322766695E-2</v>
      </c>
      <c r="H51" s="31">
        <f t="shared" si="9"/>
        <v>3.0093937613798204E-2</v>
      </c>
      <c r="I51" s="31">
        <f t="shared" si="10"/>
        <v>0.40009435331688181</v>
      </c>
      <c r="J51" s="31">
        <f t="shared" si="11"/>
        <v>2.263578762347319E-3</v>
      </c>
      <c r="K51" s="31"/>
      <c r="L51" s="74">
        <f t="shared" si="37"/>
        <v>13</v>
      </c>
      <c r="M51" s="31">
        <f t="shared" si="38"/>
        <v>0.86661404893449101</v>
      </c>
      <c r="N51" s="35">
        <f t="shared" si="39"/>
        <v>0.8136876687733946</v>
      </c>
      <c r="O51" s="35"/>
      <c r="P51" s="35">
        <f t="shared" si="15"/>
        <v>2.8012017169568994E-3</v>
      </c>
      <c r="Q51" s="35">
        <f t="shared" si="16"/>
        <v>-5.2926380161096409E-2</v>
      </c>
      <c r="AC51" s="20" t="s">
        <v>13</v>
      </c>
      <c r="AD51" s="21">
        <v>1</v>
      </c>
      <c r="AE51" s="21">
        <v>2</v>
      </c>
      <c r="AF51" s="21">
        <v>3</v>
      </c>
      <c r="AG51" s="21">
        <v>4</v>
      </c>
      <c r="AH51" s="21">
        <v>5</v>
      </c>
      <c r="AI51" s="21">
        <v>6</v>
      </c>
      <c r="AJ51" s="21">
        <v>7</v>
      </c>
      <c r="AK51" s="22">
        <v>8</v>
      </c>
      <c r="AM51" s="20">
        <f t="shared" ref="AM51:AM73" si="62">AM16</f>
        <v>2</v>
      </c>
      <c r="AN51" s="53">
        <f t="shared" si="54"/>
        <v>8.6377054033677769</v>
      </c>
      <c r="AO51" s="53">
        <f t="shared" si="55"/>
        <v>9.4780582377890337</v>
      </c>
      <c r="AP51" s="53">
        <f t="shared" si="56"/>
        <v>11.158763906631542</v>
      </c>
      <c r="AQ51" s="53">
        <f t="shared" si="57"/>
        <v>11.999116741052797</v>
      </c>
      <c r="AR51" s="24"/>
      <c r="AT51" s="20">
        <f t="shared" ref="AT51:AT73" si="63">AM51</f>
        <v>2</v>
      </c>
      <c r="AU51" s="53">
        <f t="shared" si="58"/>
        <v>6.2543666541081269</v>
      </c>
      <c r="AV51" s="53">
        <f t="shared" si="59"/>
        <v>6.8628470895765927</v>
      </c>
      <c r="AW51" s="53">
        <f t="shared" si="60"/>
        <v>8.0798079605135236</v>
      </c>
      <c r="AX51" s="53">
        <f t="shared" si="61"/>
        <v>8.6882883959819903</v>
      </c>
      <c r="AY51" s="24"/>
      <c r="BS51">
        <f t="shared" si="50"/>
        <v>13</v>
      </c>
      <c r="BT51" s="19">
        <f t="shared" si="47"/>
        <v>10.98</v>
      </c>
      <c r="BU51" s="19">
        <f t="shared" si="51"/>
        <v>0.86661404893449101</v>
      </c>
      <c r="CD51">
        <f>CD50+0.02</f>
        <v>-0.18000000000000002</v>
      </c>
      <c r="CG51" s="83">
        <v>-0.18000000000000002</v>
      </c>
      <c r="CH51" s="84">
        <v>0</v>
      </c>
    </row>
    <row r="52" spans="1:86" x14ac:dyDescent="0.25">
      <c r="A52" s="125"/>
      <c r="B52" s="32">
        <f t="shared" si="48"/>
        <v>14</v>
      </c>
      <c r="C52" s="69">
        <f t="shared" si="49"/>
        <v>1.0386740331491713</v>
      </c>
      <c r="E52" s="31">
        <f t="shared" si="52"/>
        <v>1.6325301204819276</v>
      </c>
      <c r="F52" s="31">
        <f t="shared" si="53"/>
        <v>0.21963706653744697</v>
      </c>
      <c r="H52" s="31">
        <f t="shared" si="9"/>
        <v>0.35856412669667542</v>
      </c>
      <c r="I52" s="31">
        <f t="shared" si="10"/>
        <v>2.6651545942807369</v>
      </c>
      <c r="J52" s="31">
        <f t="shared" si="11"/>
        <v>4.8240440997174908E-2</v>
      </c>
      <c r="K52" s="31"/>
      <c r="L52" s="74">
        <f t="shared" si="37"/>
        <v>14</v>
      </c>
      <c r="M52" s="31">
        <f t="shared" si="38"/>
        <v>1.0386740331491713</v>
      </c>
      <c r="N52" s="35">
        <f t="shared" si="39"/>
        <v>0.80523068361946382</v>
      </c>
      <c r="O52" s="35"/>
      <c r="P52" s="35">
        <f t="shared" si="15"/>
        <v>5.449579743964917E-2</v>
      </c>
      <c r="Q52" s="35">
        <f t="shared" si="16"/>
        <v>-0.23344334952970747</v>
      </c>
      <c r="AC52" s="20" t="str">
        <f t="shared" ref="AC52:AC76" si="64">AC14</f>
        <v>Episode</v>
      </c>
      <c r="AD52" s="21"/>
      <c r="AE52" s="21"/>
      <c r="AF52" s="21"/>
      <c r="AG52" s="21"/>
      <c r="AH52" s="21"/>
      <c r="AI52" s="21"/>
      <c r="AJ52" s="21"/>
      <c r="AK52" s="22"/>
      <c r="AM52" s="20">
        <f t="shared" si="62"/>
        <v>3</v>
      </c>
      <c r="AN52" s="53">
        <f t="shared" si="54"/>
        <v>8.5414649123160444</v>
      </c>
      <c r="AO52" s="53">
        <f t="shared" si="55"/>
        <v>9.3818177467372994</v>
      </c>
      <c r="AP52" s="53">
        <f t="shared" si="56"/>
        <v>11.062523415579809</v>
      </c>
      <c r="AQ52" s="53">
        <f t="shared" si="57"/>
        <v>11.902876250001064</v>
      </c>
      <c r="AR52" s="24"/>
      <c r="AT52" s="20">
        <f t="shared" si="63"/>
        <v>3</v>
      </c>
      <c r="AU52" s="53">
        <f t="shared" si="58"/>
        <v>6.1846810964397374</v>
      </c>
      <c r="AV52" s="53">
        <f t="shared" si="59"/>
        <v>6.7931615319082024</v>
      </c>
      <c r="AW52" s="53">
        <f t="shared" si="60"/>
        <v>8.0101224028451341</v>
      </c>
      <c r="AX52" s="53">
        <f t="shared" si="61"/>
        <v>8.6186028383135991</v>
      </c>
      <c r="AY52" s="24"/>
      <c r="BS52">
        <f t="shared" si="50"/>
        <v>14</v>
      </c>
      <c r="BT52" s="19">
        <f t="shared" si="47"/>
        <v>13.16</v>
      </c>
      <c r="BU52" s="19">
        <f t="shared" si="51"/>
        <v>1.0386740331491713</v>
      </c>
      <c r="CD52">
        <f t="shared" ref="CD52:CD69" si="65">CD51+0.02</f>
        <v>-0.16000000000000003</v>
      </c>
      <c r="CG52" s="83">
        <v>-0.16000000000000003</v>
      </c>
      <c r="CH52" s="84">
        <v>2</v>
      </c>
    </row>
    <row r="53" spans="1:86" x14ac:dyDescent="0.25">
      <c r="A53" s="125"/>
      <c r="B53" s="32">
        <f t="shared" si="48"/>
        <v>15</v>
      </c>
      <c r="C53" s="69">
        <f t="shared" si="49"/>
        <v>0.83425414364640882</v>
      </c>
      <c r="E53" s="31">
        <f t="shared" si="52"/>
        <v>2.6325301204819276</v>
      </c>
      <c r="F53" s="31">
        <f t="shared" si="53"/>
        <v>1.5217177034684504E-2</v>
      </c>
      <c r="H53" s="31">
        <f t="shared" si="9"/>
        <v>4.0059676892512816E-2</v>
      </c>
      <c r="I53" s="31">
        <f t="shared" si="10"/>
        <v>6.930214835244592</v>
      </c>
      <c r="J53" s="31">
        <f t="shared" si="11"/>
        <v>2.3156247690492946E-4</v>
      </c>
      <c r="K53" s="31"/>
      <c r="L53" s="74">
        <f t="shared" si="37"/>
        <v>15</v>
      </c>
      <c r="M53" s="31">
        <f t="shared" si="38"/>
        <v>0.83425414364640882</v>
      </c>
      <c r="N53" s="35">
        <f t="shared" si="39"/>
        <v>0.79677369846553303</v>
      </c>
      <c r="O53" s="35"/>
      <c r="P53" s="35">
        <f t="shared" si="15"/>
        <v>1.4047837709566351E-3</v>
      </c>
      <c r="Q53" s="35">
        <f t="shared" si="16"/>
        <v>-3.7480445180875788E-2</v>
      </c>
      <c r="AC53" s="20">
        <f t="shared" si="64"/>
        <v>1</v>
      </c>
      <c r="AD53" s="37"/>
      <c r="AE53" s="37"/>
      <c r="AF53" s="37">
        <f t="shared" ref="AF53:AF63" si="66">V15/$V15</f>
        <v>1</v>
      </c>
      <c r="AG53" s="37">
        <f t="shared" ref="AG53:AG63" si="67">W15/$V15</f>
        <v>0.99449035812672171</v>
      </c>
      <c r="AH53" s="37">
        <f t="shared" ref="AH53:AH63" si="68">X15/$V15</f>
        <v>0.806473829201102</v>
      </c>
      <c r="AI53" s="37">
        <f t="shared" ref="AI53:AI63" si="69">Y15/$V15</f>
        <v>0.78374655647382929</v>
      </c>
      <c r="AJ53" s="37">
        <f t="shared" ref="AJ53:AJ63" si="70">Z15/$V15</f>
        <v>0.6515151515151516</v>
      </c>
      <c r="AK53" s="38">
        <f t="shared" ref="AK53:AK63" si="71">AA15/$V15</f>
        <v>0.56749311294765847</v>
      </c>
      <c r="AM53" s="20">
        <f t="shared" si="62"/>
        <v>4</v>
      </c>
      <c r="AN53" s="53">
        <f t="shared" si="54"/>
        <v>8.4452244212643137</v>
      </c>
      <c r="AO53" s="53">
        <f t="shared" si="55"/>
        <v>9.2855772556855687</v>
      </c>
      <c r="AP53" s="53">
        <f t="shared" si="56"/>
        <v>10.966282924528077</v>
      </c>
      <c r="AQ53" s="53">
        <f t="shared" si="57"/>
        <v>11.80663575894933</v>
      </c>
      <c r="AR53" s="24"/>
      <c r="AT53" s="20">
        <f t="shared" si="63"/>
        <v>4</v>
      </c>
      <c r="AU53" s="53">
        <f t="shared" si="58"/>
        <v>6.1149955387713479</v>
      </c>
      <c r="AV53" s="53">
        <f t="shared" si="59"/>
        <v>6.7234759742398138</v>
      </c>
      <c r="AW53" s="53">
        <f t="shared" si="60"/>
        <v>7.9404368451767438</v>
      </c>
      <c r="AX53" s="53">
        <f t="shared" si="61"/>
        <v>8.5489172806452096</v>
      </c>
      <c r="AY53" s="24"/>
      <c r="BS53">
        <f t="shared" si="50"/>
        <v>15</v>
      </c>
      <c r="BT53" s="19">
        <f t="shared" si="47"/>
        <v>10.57</v>
      </c>
      <c r="BU53" s="19">
        <f t="shared" si="51"/>
        <v>0.83425414364640882</v>
      </c>
      <c r="CD53">
        <f t="shared" si="65"/>
        <v>-0.14000000000000004</v>
      </c>
      <c r="CG53" s="83">
        <v>-0.14000000000000004</v>
      </c>
      <c r="CH53" s="84">
        <v>0</v>
      </c>
    </row>
    <row r="54" spans="1:86" x14ac:dyDescent="0.25">
      <c r="A54" s="125"/>
      <c r="B54" s="32">
        <f t="shared" si="48"/>
        <v>16</v>
      </c>
      <c r="C54" s="69">
        <f t="shared" si="49"/>
        <v>0.80268350434096292</v>
      </c>
      <c r="E54" s="31">
        <f t="shared" si="52"/>
        <v>3.6325301204819276</v>
      </c>
      <c r="F54" s="31">
        <f t="shared" si="53"/>
        <v>-1.6353462270761399E-2</v>
      </c>
      <c r="H54" s="31">
        <f t="shared" si="9"/>
        <v>-5.940444427270556E-2</v>
      </c>
      <c r="I54" s="31">
        <f t="shared" si="10"/>
        <v>13.195275076208448</v>
      </c>
      <c r="J54" s="31">
        <f t="shared" si="11"/>
        <v>2.6743572824121657E-4</v>
      </c>
      <c r="K54" s="31"/>
      <c r="L54" s="74">
        <f t="shared" si="37"/>
        <v>16</v>
      </c>
      <c r="M54" s="31">
        <f t="shared" si="38"/>
        <v>0.80268350434096292</v>
      </c>
      <c r="N54" s="35">
        <f t="shared" si="39"/>
        <v>0.78831671331160225</v>
      </c>
      <c r="O54" s="35"/>
      <c r="P54" s="35">
        <f t="shared" si="15"/>
        <v>2.0640468448131823E-4</v>
      </c>
      <c r="Q54" s="35">
        <f t="shared" si="16"/>
        <v>-1.436679102936067E-2</v>
      </c>
      <c r="AC54" s="20">
        <f t="shared" si="64"/>
        <v>2</v>
      </c>
      <c r="AD54" s="37"/>
      <c r="AE54" s="37"/>
      <c r="AF54" s="37">
        <f t="shared" si="66"/>
        <v>1</v>
      </c>
      <c r="AG54" s="37">
        <f t="shared" si="67"/>
        <v>0.8308115543328749</v>
      </c>
      <c r="AH54" s="37">
        <f t="shared" si="68"/>
        <v>0.80123796423658877</v>
      </c>
      <c r="AI54" s="37">
        <f t="shared" si="69"/>
        <v>0.72627235213204955</v>
      </c>
      <c r="AJ54" s="37">
        <f t="shared" si="70"/>
        <v>0.59972489683631369</v>
      </c>
      <c r="AK54" s="38">
        <f t="shared" si="71"/>
        <v>0.50962861072902343</v>
      </c>
      <c r="AM54" s="20">
        <f t="shared" si="62"/>
        <v>5</v>
      </c>
      <c r="AN54" s="53">
        <f t="shared" si="54"/>
        <v>8.3489839302125812</v>
      </c>
      <c r="AO54" s="53">
        <f t="shared" si="55"/>
        <v>9.1893367646338344</v>
      </c>
      <c r="AP54" s="53">
        <f t="shared" si="56"/>
        <v>10.870042433476346</v>
      </c>
      <c r="AQ54" s="53">
        <f t="shared" si="57"/>
        <v>11.710395267897599</v>
      </c>
      <c r="AR54" s="24"/>
      <c r="AT54" s="20">
        <f t="shared" si="63"/>
        <v>5</v>
      </c>
      <c r="AU54" s="53">
        <f t="shared" si="58"/>
        <v>6.0453099811029576</v>
      </c>
      <c r="AV54" s="53">
        <f t="shared" si="59"/>
        <v>6.6537904165714226</v>
      </c>
      <c r="AW54" s="53">
        <f t="shared" si="60"/>
        <v>7.8707512875083552</v>
      </c>
      <c r="AX54" s="53">
        <f t="shared" si="61"/>
        <v>8.4792317229768202</v>
      </c>
      <c r="AY54" s="24"/>
      <c r="BS54">
        <f t="shared" si="50"/>
        <v>16</v>
      </c>
      <c r="BT54" s="19">
        <f t="shared" si="47"/>
        <v>10.17</v>
      </c>
      <c r="BU54" s="19">
        <f t="shared" si="51"/>
        <v>0.80268350434096292</v>
      </c>
      <c r="CD54">
        <f t="shared" si="65"/>
        <v>-0.12000000000000004</v>
      </c>
      <c r="CG54" s="83">
        <v>-0.12000000000000004</v>
      </c>
      <c r="CH54" s="84">
        <v>1</v>
      </c>
    </row>
    <row r="55" spans="1:86" x14ac:dyDescent="0.25">
      <c r="A55" s="125"/>
      <c r="B55" s="32">
        <f t="shared" si="48"/>
        <v>17</v>
      </c>
      <c r="C55" s="69">
        <f t="shared" si="49"/>
        <v>0.79794790844514596</v>
      </c>
      <c r="E55" s="31">
        <f t="shared" si="52"/>
        <v>4.6325301204819276</v>
      </c>
      <c r="F55" s="31">
        <f t="shared" si="53"/>
        <v>-2.1089058166578356E-2</v>
      </c>
      <c r="H55" s="31">
        <f t="shared" si="9"/>
        <v>-9.769569716926961E-2</v>
      </c>
      <c r="I55" s="31">
        <f t="shared" si="10"/>
        <v>21.460335317172301</v>
      </c>
      <c r="J55" s="31">
        <f t="shared" si="11"/>
        <v>4.4474837435332527E-4</v>
      </c>
      <c r="K55" s="31"/>
      <c r="L55" s="74">
        <f t="shared" si="37"/>
        <v>17</v>
      </c>
      <c r="M55" s="31">
        <f t="shared" si="38"/>
        <v>0.79794790844514596</v>
      </c>
      <c r="N55" s="35">
        <f t="shared" si="39"/>
        <v>0.77985972815767146</v>
      </c>
      <c r="O55" s="35"/>
      <c r="P55" s="35">
        <f t="shared" si="15"/>
        <v>3.2718226611218104E-4</v>
      </c>
      <c r="Q55" s="35">
        <f t="shared" si="16"/>
        <v>-1.8088180287474498E-2</v>
      </c>
      <c r="AC55" s="20">
        <f t="shared" si="64"/>
        <v>3</v>
      </c>
      <c r="AD55" s="37"/>
      <c r="AE55" s="37"/>
      <c r="AF55" s="37">
        <f t="shared" si="66"/>
        <v>1</v>
      </c>
      <c r="AG55" s="37">
        <f t="shared" si="67"/>
        <v>0.91524163568773242</v>
      </c>
      <c r="AH55" s="37">
        <f t="shared" si="68"/>
        <v>0.82676579925650551</v>
      </c>
      <c r="AI55" s="37">
        <f t="shared" si="69"/>
        <v>0.76579925650557634</v>
      </c>
      <c r="AJ55" s="37">
        <f t="shared" si="70"/>
        <v>0.59405204460966543</v>
      </c>
      <c r="AK55" s="38">
        <f t="shared" si="71"/>
        <v>0.51821561338289968</v>
      </c>
      <c r="AM55" s="20">
        <f t="shared" si="62"/>
        <v>6</v>
      </c>
      <c r="AN55" s="53">
        <f t="shared" si="54"/>
        <v>8.2527434391608487</v>
      </c>
      <c r="AO55" s="53">
        <f t="shared" si="55"/>
        <v>9.0930962735821037</v>
      </c>
      <c r="AP55" s="53">
        <f t="shared" si="56"/>
        <v>10.773801942424612</v>
      </c>
      <c r="AQ55" s="53">
        <f t="shared" si="57"/>
        <v>11.614154776845869</v>
      </c>
      <c r="AR55" s="24"/>
      <c r="AT55" s="20">
        <f t="shared" si="63"/>
        <v>6</v>
      </c>
      <c r="AU55" s="53">
        <f t="shared" si="58"/>
        <v>5.9756244234345681</v>
      </c>
      <c r="AV55" s="53">
        <f t="shared" si="59"/>
        <v>6.584104858903034</v>
      </c>
      <c r="AW55" s="53">
        <f t="shared" si="60"/>
        <v>7.8010657298399648</v>
      </c>
      <c r="AX55" s="53">
        <f t="shared" si="61"/>
        <v>8.4095461653084307</v>
      </c>
      <c r="AY55" s="24"/>
      <c r="BS55">
        <f t="shared" si="50"/>
        <v>17</v>
      </c>
      <c r="BT55" s="19">
        <f t="shared" si="47"/>
        <v>10.11</v>
      </c>
      <c r="BU55" s="19">
        <f t="shared" si="51"/>
        <v>0.79794790844514596</v>
      </c>
      <c r="CD55">
        <f t="shared" si="65"/>
        <v>-0.10000000000000003</v>
      </c>
      <c r="CG55" s="83">
        <v>-0.10000000000000003</v>
      </c>
      <c r="CH55" s="84">
        <v>3</v>
      </c>
    </row>
    <row r="56" spans="1:86" x14ac:dyDescent="0.25">
      <c r="A56" s="125"/>
      <c r="B56" s="32">
        <f t="shared" si="48"/>
        <v>18</v>
      </c>
      <c r="C56" s="69">
        <f t="shared" si="49"/>
        <v>0.86029992107340181</v>
      </c>
      <c r="E56" s="31">
        <f t="shared" si="52"/>
        <v>5.6325301204819276</v>
      </c>
      <c r="F56" s="31">
        <f t="shared" si="53"/>
        <v>4.1262954461677492E-2</v>
      </c>
      <c r="H56" s="31">
        <f t="shared" si="9"/>
        <v>0.23241483386547263</v>
      </c>
      <c r="I56" s="31">
        <f t="shared" si="10"/>
        <v>31.725395558136157</v>
      </c>
      <c r="J56" s="31">
        <f t="shared" si="11"/>
        <v>1.7026314109064705E-3</v>
      </c>
      <c r="K56" s="31"/>
      <c r="L56" s="74">
        <f t="shared" si="37"/>
        <v>18</v>
      </c>
      <c r="M56" s="31">
        <f t="shared" si="38"/>
        <v>0.86029992107340181</v>
      </c>
      <c r="N56" s="35">
        <f t="shared" si="39"/>
        <v>0.77140274300374068</v>
      </c>
      <c r="O56" s="35"/>
      <c r="P56" s="35">
        <f t="shared" si="15"/>
        <v>7.90270826874904E-3</v>
      </c>
      <c r="Q56" s="35">
        <f t="shared" si="16"/>
        <v>-8.8897178069661131E-2</v>
      </c>
      <c r="AC56" s="20">
        <f t="shared" si="64"/>
        <v>4</v>
      </c>
      <c r="AD56" s="37"/>
      <c r="AE56" s="37"/>
      <c r="AF56" s="37">
        <f t="shared" si="66"/>
        <v>1</v>
      </c>
      <c r="AG56" s="37">
        <f t="shared" si="67"/>
        <v>0.9274924471299093</v>
      </c>
      <c r="AH56" s="37">
        <f t="shared" si="68"/>
        <v>0.80362537764350461</v>
      </c>
      <c r="AI56" s="37">
        <f t="shared" si="69"/>
        <v>0.73338368580060431</v>
      </c>
      <c r="AJ56" s="37">
        <f t="shared" si="70"/>
        <v>0.59516616314199389</v>
      </c>
      <c r="AK56" s="38">
        <f t="shared" si="71"/>
        <v>0.56646525679758308</v>
      </c>
      <c r="AM56" s="20">
        <f t="shared" si="62"/>
        <v>7</v>
      </c>
      <c r="AN56" s="53">
        <f t="shared" si="54"/>
        <v>8.1565029481091162</v>
      </c>
      <c r="AO56" s="53">
        <f t="shared" si="55"/>
        <v>8.9968557825303694</v>
      </c>
      <c r="AP56" s="53">
        <f t="shared" si="56"/>
        <v>10.677561451372881</v>
      </c>
      <c r="AQ56" s="53">
        <f t="shared" si="57"/>
        <v>11.517914285794134</v>
      </c>
      <c r="AR56" s="24"/>
      <c r="AT56" s="20">
        <f t="shared" si="63"/>
        <v>7</v>
      </c>
      <c r="AU56" s="53">
        <f t="shared" si="58"/>
        <v>5.9059388657661787</v>
      </c>
      <c r="AV56" s="53">
        <f t="shared" si="59"/>
        <v>6.5144193012346436</v>
      </c>
      <c r="AW56" s="53">
        <f t="shared" si="60"/>
        <v>7.7313801721715754</v>
      </c>
      <c r="AX56" s="53">
        <f t="shared" si="61"/>
        <v>8.3398606076400412</v>
      </c>
      <c r="AY56" s="24"/>
      <c r="BS56">
        <f t="shared" si="50"/>
        <v>18</v>
      </c>
      <c r="BT56" s="19">
        <f t="shared" si="47"/>
        <v>10.9</v>
      </c>
      <c r="BU56" s="19">
        <f t="shared" si="51"/>
        <v>0.86029992107340181</v>
      </c>
      <c r="CD56">
        <f t="shared" si="65"/>
        <v>-8.0000000000000029E-2</v>
      </c>
      <c r="CG56" s="83">
        <v>-8.0000000000000029E-2</v>
      </c>
      <c r="CH56" s="84">
        <v>17</v>
      </c>
    </row>
    <row r="57" spans="1:86" x14ac:dyDescent="0.25">
      <c r="A57" s="125"/>
      <c r="B57" s="32">
        <f t="shared" si="48"/>
        <v>19</v>
      </c>
      <c r="C57" s="69">
        <f t="shared" si="49"/>
        <v>0.75848460931333861</v>
      </c>
      <c r="E57" s="31">
        <f t="shared" si="52"/>
        <v>6.6325301204819276</v>
      </c>
      <c r="F57" s="31">
        <f t="shared" si="53"/>
        <v>-6.0552357298385706E-2</v>
      </c>
      <c r="H57" s="31">
        <f t="shared" si="9"/>
        <v>-0.40161533364772689</v>
      </c>
      <c r="I57" s="31">
        <f t="shared" si="10"/>
        <v>43.990455799100012</v>
      </c>
      <c r="J57" s="31">
        <f t="shared" si="11"/>
        <v>3.6665879743913647E-3</v>
      </c>
      <c r="K57" s="31"/>
      <c r="L57" s="74">
        <f t="shared" si="37"/>
        <v>19</v>
      </c>
      <c r="M57" s="31">
        <f t="shared" si="38"/>
        <v>0.75848460931333861</v>
      </c>
      <c r="N57" s="35">
        <f t="shared" si="39"/>
        <v>0.76294575784980989</v>
      </c>
      <c r="O57" s="35"/>
      <c r="P57" s="35">
        <f t="shared" si="15"/>
        <v>1.9901846264459863E-5</v>
      </c>
      <c r="Q57" s="35">
        <f t="shared" si="16"/>
        <v>4.4611485364712822E-3</v>
      </c>
      <c r="AC57" s="20">
        <f t="shared" si="64"/>
        <v>5</v>
      </c>
      <c r="AD57" s="37"/>
      <c r="AE57" s="37"/>
      <c r="AF57" s="37">
        <f t="shared" si="66"/>
        <v>1</v>
      </c>
      <c r="AG57" s="37">
        <f t="shared" si="67"/>
        <v>0.91721611721611718</v>
      </c>
      <c r="AH57" s="37">
        <f t="shared" si="68"/>
        <v>0.80146520146520139</v>
      </c>
      <c r="AI57" s="37">
        <f t="shared" si="69"/>
        <v>0.74432234432234434</v>
      </c>
      <c r="AJ57" s="37">
        <f t="shared" si="70"/>
        <v>0.5714285714285714</v>
      </c>
      <c r="AK57" s="38">
        <f t="shared" si="71"/>
        <v>0.54065934065934063</v>
      </c>
      <c r="AM57" s="20">
        <f t="shared" si="62"/>
        <v>8</v>
      </c>
      <c r="AN57" s="53">
        <f t="shared" si="54"/>
        <v>8.0602624570573838</v>
      </c>
      <c r="AO57" s="53">
        <f t="shared" si="55"/>
        <v>8.9006152914786387</v>
      </c>
      <c r="AP57" s="53">
        <f t="shared" si="56"/>
        <v>10.581320960321147</v>
      </c>
      <c r="AQ57" s="53">
        <f t="shared" si="57"/>
        <v>11.421673794742402</v>
      </c>
      <c r="AR57" s="24"/>
      <c r="AT57" s="20">
        <f t="shared" si="63"/>
        <v>8</v>
      </c>
      <c r="AU57" s="53">
        <f t="shared" si="58"/>
        <v>5.8362533080977892</v>
      </c>
      <c r="AV57" s="53">
        <f t="shared" si="59"/>
        <v>6.4447337435662551</v>
      </c>
      <c r="AW57" s="53">
        <f t="shared" si="60"/>
        <v>7.661694614503185</v>
      </c>
      <c r="AX57" s="53">
        <f t="shared" si="61"/>
        <v>8.27017504997165</v>
      </c>
      <c r="AY57" s="24"/>
      <c r="BS57">
        <f t="shared" si="50"/>
        <v>19</v>
      </c>
      <c r="BT57" s="19">
        <f t="shared" si="47"/>
        <v>9.61</v>
      </c>
      <c r="BU57" s="19">
        <f t="shared" si="51"/>
        <v>0.75848460931333861</v>
      </c>
      <c r="CD57">
        <f t="shared" si="65"/>
        <v>-6.0000000000000026E-2</v>
      </c>
      <c r="CG57" s="83">
        <v>-6.0000000000000026E-2</v>
      </c>
      <c r="CH57" s="84">
        <v>8</v>
      </c>
    </row>
    <row r="58" spans="1:86" x14ac:dyDescent="0.25">
      <c r="A58" s="125"/>
      <c r="B58" s="32">
        <f t="shared" si="48"/>
        <v>20</v>
      </c>
      <c r="C58" s="69">
        <f t="shared" si="49"/>
        <v>0.78531965272296755</v>
      </c>
      <c r="E58" s="31">
        <f t="shared" si="52"/>
        <v>7.6325301204819276</v>
      </c>
      <c r="F58" s="31">
        <f t="shared" si="53"/>
        <v>-3.3717313888756761E-2</v>
      </c>
      <c r="H58" s="31">
        <f t="shared" si="9"/>
        <v>-0.25734841383767959</v>
      </c>
      <c r="I58" s="31">
        <f t="shared" si="10"/>
        <v>58.255516040063867</v>
      </c>
      <c r="J58" s="31">
        <f t="shared" si="11"/>
        <v>1.1368572558729496E-3</v>
      </c>
      <c r="K58" s="31"/>
      <c r="L58" s="74">
        <f t="shared" si="37"/>
        <v>20</v>
      </c>
      <c r="M58" s="31">
        <f t="shared" si="38"/>
        <v>0.78531965272296755</v>
      </c>
      <c r="N58" s="35">
        <f t="shared" si="39"/>
        <v>0.75448877269587911</v>
      </c>
      <c r="O58" s="35"/>
      <c r="P58" s="35">
        <f t="shared" si="15"/>
        <v>9.5054316324472133E-4</v>
      </c>
      <c r="Q58" s="35">
        <f t="shared" si="16"/>
        <v>-3.0830880027088448E-2</v>
      </c>
      <c r="AC58" s="20">
        <f t="shared" si="64"/>
        <v>6</v>
      </c>
      <c r="AD58" s="37"/>
      <c r="AE58" s="37"/>
      <c r="AF58" s="37">
        <f t="shared" si="66"/>
        <v>1</v>
      </c>
      <c r="AG58" s="37">
        <f t="shared" si="67"/>
        <v>0.81441717791411039</v>
      </c>
      <c r="AH58" s="37">
        <f t="shared" si="68"/>
        <v>0.79141104294478537</v>
      </c>
      <c r="AI58" s="37">
        <f t="shared" si="69"/>
        <v>0.76073619631901845</v>
      </c>
      <c r="AJ58" s="37">
        <f t="shared" si="70"/>
        <v>0.62500000000000011</v>
      </c>
      <c r="AK58" s="38">
        <f t="shared" si="71"/>
        <v>0.55444785276073627</v>
      </c>
      <c r="AM58" s="20">
        <f t="shared" si="62"/>
        <v>9</v>
      </c>
      <c r="AN58" s="53">
        <f t="shared" si="54"/>
        <v>7.9640219660056513</v>
      </c>
      <c r="AO58" s="53">
        <f t="shared" si="55"/>
        <v>8.8043748004269045</v>
      </c>
      <c r="AP58" s="53">
        <f t="shared" si="56"/>
        <v>10.485080469269416</v>
      </c>
      <c r="AQ58" s="53">
        <f t="shared" si="57"/>
        <v>11.325433303690669</v>
      </c>
      <c r="AR58" s="24"/>
      <c r="AT58" s="20">
        <f t="shared" si="63"/>
        <v>9</v>
      </c>
      <c r="AU58" s="53">
        <f t="shared" si="58"/>
        <v>5.7665677504293988</v>
      </c>
      <c r="AV58" s="53">
        <f t="shared" si="59"/>
        <v>6.3750481858978647</v>
      </c>
      <c r="AW58" s="53">
        <f t="shared" si="60"/>
        <v>7.5920090568347964</v>
      </c>
      <c r="AX58" s="53">
        <f t="shared" si="61"/>
        <v>8.2004894923032623</v>
      </c>
      <c r="AY58" s="24"/>
      <c r="BS58">
        <f t="shared" si="50"/>
        <v>20</v>
      </c>
      <c r="BT58" s="19">
        <f t="shared" si="47"/>
        <v>9.9499999999999993</v>
      </c>
      <c r="BU58" s="19">
        <f t="shared" si="51"/>
        <v>0.78531965272296755</v>
      </c>
      <c r="CD58">
        <f t="shared" si="65"/>
        <v>-4.0000000000000022E-2</v>
      </c>
      <c r="CG58" s="83">
        <v>-4.0000000000000022E-2</v>
      </c>
      <c r="CH58" s="84">
        <v>13</v>
      </c>
    </row>
    <row r="59" spans="1:86" x14ac:dyDescent="0.25">
      <c r="A59" s="125"/>
      <c r="B59" s="32">
        <f t="shared" si="48"/>
        <v>21</v>
      </c>
      <c r="C59" s="69">
        <f t="shared" si="49"/>
        <v>0.78137332280978689</v>
      </c>
      <c r="E59" s="31">
        <f t="shared" si="52"/>
        <v>8.6325301204819276</v>
      </c>
      <c r="F59" s="31">
        <f t="shared" si="53"/>
        <v>-3.766364380193743E-2</v>
      </c>
      <c r="H59" s="31">
        <f t="shared" si="9"/>
        <v>-0.32513253956732735</v>
      </c>
      <c r="I59" s="31">
        <f t="shared" si="10"/>
        <v>74.520576281027729</v>
      </c>
      <c r="J59" s="31">
        <f t="shared" si="11"/>
        <v>1.4185500644392198E-3</v>
      </c>
      <c r="K59" s="31"/>
      <c r="L59" s="74">
        <f t="shared" si="37"/>
        <v>21</v>
      </c>
      <c r="M59" s="31">
        <f t="shared" si="38"/>
        <v>0.78137332280978689</v>
      </c>
      <c r="N59" s="35">
        <f t="shared" si="39"/>
        <v>0.74603178754194832</v>
      </c>
      <c r="O59" s="35"/>
      <c r="P59" s="35">
        <f t="shared" si="15"/>
        <v>1.249024115087877E-3</v>
      </c>
      <c r="Q59" s="35">
        <f t="shared" si="16"/>
        <v>-3.5341535267838564E-2</v>
      </c>
      <c r="AC59" s="20">
        <f t="shared" si="64"/>
        <v>7</v>
      </c>
      <c r="AD59" s="37"/>
      <c r="AE59" s="37"/>
      <c r="AF59" s="37">
        <f t="shared" si="66"/>
        <v>1</v>
      </c>
      <c r="AG59" s="37">
        <f t="shared" si="67"/>
        <v>0.9296933433059088</v>
      </c>
      <c r="AH59" s="37">
        <f t="shared" si="68"/>
        <v>0.80403889304412868</v>
      </c>
      <c r="AI59" s="37">
        <f t="shared" si="69"/>
        <v>0.73522812266267767</v>
      </c>
      <c r="AJ59" s="37">
        <f t="shared" si="70"/>
        <v>0.62677636499626033</v>
      </c>
      <c r="AK59" s="38">
        <f t="shared" si="71"/>
        <v>0.54824233358264773</v>
      </c>
      <c r="AM59" s="20">
        <f t="shared" si="62"/>
        <v>10</v>
      </c>
      <c r="AN59" s="53">
        <f t="shared" si="54"/>
        <v>7.8677814749539188</v>
      </c>
      <c r="AO59" s="53">
        <f t="shared" si="55"/>
        <v>8.7081343093751737</v>
      </c>
      <c r="AP59" s="53">
        <f t="shared" si="56"/>
        <v>10.388839978217682</v>
      </c>
      <c r="AQ59" s="53">
        <f t="shared" si="57"/>
        <v>11.229192812638937</v>
      </c>
      <c r="AR59" s="24"/>
      <c r="AT59" s="20">
        <f t="shared" si="63"/>
        <v>10</v>
      </c>
      <c r="AU59" s="53">
        <f t="shared" si="58"/>
        <v>5.6968821927610094</v>
      </c>
      <c r="AV59" s="53">
        <f t="shared" si="59"/>
        <v>6.3053626282294752</v>
      </c>
      <c r="AW59" s="53">
        <f t="shared" si="60"/>
        <v>7.5223234991664061</v>
      </c>
      <c r="AX59" s="53">
        <f t="shared" si="61"/>
        <v>8.1308039346348711</v>
      </c>
      <c r="AY59" s="24"/>
      <c r="BS59">
        <f t="shared" si="50"/>
        <v>21</v>
      </c>
      <c r="BT59" s="19">
        <f t="shared" si="47"/>
        <v>9.9</v>
      </c>
      <c r="BU59" s="19">
        <f t="shared" si="51"/>
        <v>0.78137332280978689</v>
      </c>
      <c r="CD59">
        <f t="shared" si="65"/>
        <v>-2.0000000000000021E-2</v>
      </c>
      <c r="CG59" s="83">
        <v>-2.0000000000000021E-2</v>
      </c>
      <c r="CH59" s="84">
        <v>22</v>
      </c>
    </row>
    <row r="60" spans="1:86" x14ac:dyDescent="0.25">
      <c r="A60" s="125"/>
      <c r="B60" s="32">
        <f t="shared" si="48"/>
        <v>22</v>
      </c>
      <c r="C60" s="69">
        <f t="shared" si="49"/>
        <v>0.80110497237569067</v>
      </c>
      <c r="E60" s="31">
        <f t="shared" si="52"/>
        <v>9.6325301204819276</v>
      </c>
      <c r="F60" s="31">
        <f t="shared" si="53"/>
        <v>-1.7931994236033644E-2</v>
      </c>
      <c r="H60" s="31">
        <f t="shared" si="9"/>
        <v>-0.17273047459890239</v>
      </c>
      <c r="I60" s="31">
        <f t="shared" si="10"/>
        <v>92.785636521991577</v>
      </c>
      <c r="J60" s="31">
        <f t="shared" si="11"/>
        <v>3.215564172811438E-4</v>
      </c>
      <c r="K60" s="31"/>
      <c r="L60" s="74">
        <f t="shared" si="37"/>
        <v>22</v>
      </c>
      <c r="M60" s="31">
        <f t="shared" si="38"/>
        <v>0.80110497237569067</v>
      </c>
      <c r="N60" s="35">
        <f t="shared" si="39"/>
        <v>0.73757480238801754</v>
      </c>
      <c r="O60" s="35"/>
      <c r="P60" s="35">
        <f t="shared" si="15"/>
        <v>4.036082498662644E-3</v>
      </c>
      <c r="Q60" s="35">
        <f t="shared" si="16"/>
        <v>-6.3530169987673135E-2</v>
      </c>
      <c r="AC60" s="20">
        <f t="shared" si="64"/>
        <v>8</v>
      </c>
      <c r="AD60" s="37"/>
      <c r="AE60" s="37"/>
      <c r="AF60" s="37">
        <f t="shared" si="66"/>
        <v>1</v>
      </c>
      <c r="AG60" s="37">
        <f t="shared" si="67"/>
        <v>0.92099147947327653</v>
      </c>
      <c r="AH60" s="37">
        <f t="shared" si="68"/>
        <v>0.78931061192873742</v>
      </c>
      <c r="AI60" s="37">
        <f t="shared" si="69"/>
        <v>0.84275755228505045</v>
      </c>
      <c r="AJ60" s="37">
        <f t="shared" si="70"/>
        <v>0.5693261037955073</v>
      </c>
      <c r="AK60" s="38">
        <f t="shared" si="71"/>
        <v>0.52749806351665374</v>
      </c>
      <c r="AM60" s="20">
        <f t="shared" si="62"/>
        <v>11</v>
      </c>
      <c r="AN60" s="53">
        <f t="shared" si="54"/>
        <v>7.7715409839021863</v>
      </c>
      <c r="AO60" s="53">
        <f t="shared" si="55"/>
        <v>8.6118938183234413</v>
      </c>
      <c r="AP60" s="53">
        <f t="shared" si="56"/>
        <v>10.292599487165951</v>
      </c>
      <c r="AQ60" s="53">
        <f t="shared" si="57"/>
        <v>11.132952321587206</v>
      </c>
      <c r="AR60" s="24"/>
      <c r="AT60" s="20">
        <f t="shared" si="63"/>
        <v>11</v>
      </c>
      <c r="AU60" s="53">
        <f t="shared" si="58"/>
        <v>5.6271966350926199</v>
      </c>
      <c r="AV60" s="53">
        <f t="shared" si="59"/>
        <v>6.2356770705610849</v>
      </c>
      <c r="AW60" s="53">
        <f t="shared" si="60"/>
        <v>7.4526379414980175</v>
      </c>
      <c r="AX60" s="53">
        <f t="shared" si="61"/>
        <v>8.0611183769664816</v>
      </c>
      <c r="AY60" s="24"/>
      <c r="BS60">
        <f t="shared" si="50"/>
        <v>22</v>
      </c>
      <c r="BT60" s="19">
        <f t="shared" si="47"/>
        <v>10.15</v>
      </c>
      <c r="BU60" s="19">
        <f t="shared" si="51"/>
        <v>0.80110497237569067</v>
      </c>
      <c r="CD60">
        <f t="shared" si="65"/>
        <v>0</v>
      </c>
      <c r="CG60" s="83">
        <v>0</v>
      </c>
      <c r="CH60" s="84">
        <v>24</v>
      </c>
    </row>
    <row r="61" spans="1:86" x14ac:dyDescent="0.25">
      <c r="A61" s="125"/>
      <c r="B61" s="32">
        <f t="shared" si="48"/>
        <v>23</v>
      </c>
      <c r="C61" s="69">
        <f t="shared" si="49"/>
        <v>0.8129439621152329</v>
      </c>
      <c r="E61" s="31">
        <f t="shared" si="52"/>
        <v>10.632530120481928</v>
      </c>
      <c r="F61" s="31">
        <f t="shared" si="53"/>
        <v>-6.0930044964914165E-3</v>
      </c>
      <c r="H61" s="31">
        <f t="shared" si="9"/>
        <v>-6.4784053833176813E-2</v>
      </c>
      <c r="I61" s="31">
        <f t="shared" si="10"/>
        <v>113.05069676295544</v>
      </c>
      <c r="J61" s="31">
        <f t="shared" si="11"/>
        <v>3.712470379426462E-5</v>
      </c>
      <c r="K61" s="31"/>
      <c r="L61" s="74">
        <f t="shared" si="37"/>
        <v>23</v>
      </c>
      <c r="M61" s="31">
        <f t="shared" si="38"/>
        <v>0.8129439621152329</v>
      </c>
      <c r="N61" s="35">
        <f t="shared" si="39"/>
        <v>0.72911781723408675</v>
      </c>
      <c r="O61" s="35"/>
      <c r="P61" s="35">
        <f t="shared" si="15"/>
        <v>7.0268225656349046E-3</v>
      </c>
      <c r="Q61" s="35">
        <f t="shared" si="16"/>
        <v>-8.3826144881146147E-2</v>
      </c>
      <c r="AC61" s="20">
        <f t="shared" si="64"/>
        <v>9</v>
      </c>
      <c r="AD61" s="37"/>
      <c r="AE61" s="37"/>
      <c r="AF61" s="37">
        <f t="shared" si="66"/>
        <v>1</v>
      </c>
      <c r="AG61" s="37">
        <f t="shared" si="67"/>
        <v>0.9441823899371069</v>
      </c>
      <c r="AH61" s="37">
        <f t="shared" si="68"/>
        <v>0.74449685534591192</v>
      </c>
      <c r="AI61" s="37">
        <f t="shared" si="69"/>
        <v>0.70911949685534581</v>
      </c>
      <c r="AJ61" s="37">
        <f t="shared" si="70"/>
        <v>0.64465408805031432</v>
      </c>
      <c r="AK61" s="38">
        <f t="shared" si="71"/>
        <v>0.535377358490566</v>
      </c>
      <c r="AM61" s="20">
        <f t="shared" si="62"/>
        <v>12</v>
      </c>
      <c r="AN61" s="53">
        <f t="shared" si="54"/>
        <v>7.6753004928504538</v>
      </c>
      <c r="AO61" s="53">
        <f t="shared" si="55"/>
        <v>8.5156533272717088</v>
      </c>
      <c r="AP61" s="53">
        <f t="shared" si="56"/>
        <v>10.196358996114217</v>
      </c>
      <c r="AQ61" s="53">
        <f t="shared" si="57"/>
        <v>11.036711830535474</v>
      </c>
      <c r="AR61" s="24"/>
      <c r="AT61" s="20">
        <f t="shared" si="63"/>
        <v>12</v>
      </c>
      <c r="AU61" s="53">
        <f t="shared" si="58"/>
        <v>5.5575110774242305</v>
      </c>
      <c r="AV61" s="53">
        <f t="shared" si="59"/>
        <v>6.1659915128926963</v>
      </c>
      <c r="AW61" s="53">
        <f t="shared" si="60"/>
        <v>7.3829523838296263</v>
      </c>
      <c r="AX61" s="53">
        <f t="shared" si="61"/>
        <v>7.9914328192980921</v>
      </c>
      <c r="AY61" s="24"/>
      <c r="BS61">
        <f t="shared" si="50"/>
        <v>23</v>
      </c>
      <c r="BT61" s="19">
        <f t="shared" si="47"/>
        <v>10.3</v>
      </c>
      <c r="BU61" s="19">
        <f t="shared" si="51"/>
        <v>0.8129439621152329</v>
      </c>
      <c r="CD61">
        <f t="shared" si="65"/>
        <v>0.02</v>
      </c>
      <c r="CG61" s="83">
        <v>0.02</v>
      </c>
      <c r="CH61" s="84">
        <v>20</v>
      </c>
    </row>
    <row r="62" spans="1:86" x14ac:dyDescent="0.25">
      <c r="A62" s="125"/>
      <c r="B62" s="32">
        <f t="shared" si="48"/>
        <v>24</v>
      </c>
      <c r="C62" s="69">
        <f t="shared" si="49"/>
        <v>0.81373322809786908</v>
      </c>
      <c r="E62" s="31">
        <f t="shared" si="52"/>
        <v>11.632530120481928</v>
      </c>
      <c r="F62" s="31">
        <f t="shared" si="53"/>
        <v>-5.3037385138552384E-3</v>
      </c>
      <c r="H62" s="31">
        <f t="shared" si="9"/>
        <v>-6.1695898013581114E-2</v>
      </c>
      <c r="I62" s="31">
        <f t="shared" si="10"/>
        <v>135.31575700391929</v>
      </c>
      <c r="J62" s="31">
        <f t="shared" si="11"/>
        <v>2.8129642223351374E-5</v>
      </c>
      <c r="K62" s="31"/>
      <c r="L62" s="74">
        <f t="shared" si="37"/>
        <v>24</v>
      </c>
      <c r="M62" s="31">
        <f t="shared" si="38"/>
        <v>0.81373322809786908</v>
      </c>
      <c r="N62" s="35">
        <f t="shared" si="39"/>
        <v>0.72066083208015597</v>
      </c>
      <c r="O62" s="35"/>
      <c r="P62" s="35">
        <f t="shared" si="15"/>
        <v>8.6624709004780188E-3</v>
      </c>
      <c r="Q62" s="35">
        <f t="shared" si="16"/>
        <v>-9.307239601771311E-2</v>
      </c>
      <c r="AC62" s="20">
        <f t="shared" si="64"/>
        <v>10</v>
      </c>
      <c r="AD62" s="37"/>
      <c r="AE62" s="37"/>
      <c r="AF62" s="37">
        <f t="shared" si="66"/>
        <v>1</v>
      </c>
      <c r="AG62" s="37">
        <f t="shared" si="67"/>
        <v>0.8967213114754099</v>
      </c>
      <c r="AH62" s="37">
        <f t="shared" si="68"/>
        <v>0.86967213114754094</v>
      </c>
      <c r="AI62" s="37">
        <f t="shared" si="69"/>
        <v>0.79426229508196722</v>
      </c>
      <c r="AJ62" s="37">
        <f t="shared" si="70"/>
        <v>0.68442622950819676</v>
      </c>
      <c r="AK62" s="38">
        <f t="shared" si="71"/>
        <v>0.62049180327868858</v>
      </c>
      <c r="AM62" s="20">
        <f t="shared" si="62"/>
        <v>13</v>
      </c>
      <c r="AN62" s="53">
        <f t="shared" si="54"/>
        <v>7.5790600017987222</v>
      </c>
      <c r="AO62" s="53">
        <f t="shared" si="55"/>
        <v>8.4194128362199763</v>
      </c>
      <c r="AP62" s="53">
        <f t="shared" si="56"/>
        <v>10.100118505062486</v>
      </c>
      <c r="AQ62" s="53">
        <f t="shared" si="57"/>
        <v>10.940471339483741</v>
      </c>
      <c r="AR62" s="24"/>
      <c r="AT62" s="20">
        <f t="shared" si="63"/>
        <v>13</v>
      </c>
      <c r="AU62" s="53">
        <f t="shared" si="58"/>
        <v>5.4878255197558401</v>
      </c>
      <c r="AV62" s="53">
        <f t="shared" si="59"/>
        <v>6.096305955224306</v>
      </c>
      <c r="AW62" s="53">
        <f t="shared" si="60"/>
        <v>7.3132668261612377</v>
      </c>
      <c r="AX62" s="53">
        <f t="shared" si="61"/>
        <v>7.9217472616297027</v>
      </c>
      <c r="AY62" s="24"/>
      <c r="BS62">
        <f t="shared" si="50"/>
        <v>24</v>
      </c>
      <c r="BT62" s="19">
        <f t="shared" si="47"/>
        <v>10.31</v>
      </c>
      <c r="BU62" s="19">
        <f t="shared" si="51"/>
        <v>0.81373322809786908</v>
      </c>
      <c r="CD62">
        <f t="shared" si="65"/>
        <v>0.04</v>
      </c>
      <c r="CG62" s="83">
        <v>0.04</v>
      </c>
      <c r="CH62" s="84">
        <v>13</v>
      </c>
    </row>
    <row r="63" spans="1:86" x14ac:dyDescent="0.25">
      <c r="A63" s="276" t="s">
        <v>16</v>
      </c>
      <c r="B63" s="30">
        <f>AC15</f>
        <v>1</v>
      </c>
      <c r="C63" s="68">
        <f>AF15</f>
        <v>1</v>
      </c>
      <c r="E63" s="31">
        <f t="shared" si="52"/>
        <v>-11.367469879518072</v>
      </c>
      <c r="F63" s="31">
        <f t="shared" si="53"/>
        <v>0.18096303338827568</v>
      </c>
      <c r="H63" s="31">
        <f t="shared" si="9"/>
        <v>-2.0570918313474471</v>
      </c>
      <c r="I63" s="31">
        <f t="shared" si="10"/>
        <v>129.21937146175063</v>
      </c>
      <c r="J63" s="31">
        <f t="shared" si="11"/>
        <v>3.2747619453086178E-2</v>
      </c>
      <c r="K63" s="31"/>
      <c r="L63" s="74">
        <f t="shared" si="37"/>
        <v>1</v>
      </c>
      <c r="M63" s="31">
        <f t="shared" si="38"/>
        <v>1</v>
      </c>
      <c r="N63" s="35">
        <f t="shared" si="39"/>
        <v>0.91517149062056402</v>
      </c>
      <c r="O63" s="35"/>
      <c r="P63" s="35">
        <f t="shared" si="15"/>
        <v>7.1958760035370582E-3</v>
      </c>
      <c r="Q63" s="35">
        <f t="shared" si="16"/>
        <v>-8.4828509379435979E-2</v>
      </c>
      <c r="AC63" s="20">
        <f t="shared" si="64"/>
        <v>11</v>
      </c>
      <c r="AD63" s="37"/>
      <c r="AE63" s="37"/>
      <c r="AF63" s="37">
        <f t="shared" si="66"/>
        <v>1</v>
      </c>
      <c r="AG63" s="37">
        <f t="shared" si="67"/>
        <v>0.8581610833927299</v>
      </c>
      <c r="AH63" s="37">
        <f t="shared" si="68"/>
        <v>0.6778332145402709</v>
      </c>
      <c r="AI63" s="37">
        <f t="shared" si="69"/>
        <v>0.66215253029223087</v>
      </c>
      <c r="AJ63" s="37">
        <f t="shared" si="70"/>
        <v>0.58232359230220954</v>
      </c>
      <c r="AK63" s="38">
        <f t="shared" si="71"/>
        <v>0.54098360655737709</v>
      </c>
      <c r="AM63" s="20">
        <f t="shared" si="62"/>
        <v>14</v>
      </c>
      <c r="AN63" s="53">
        <f t="shared" si="54"/>
        <v>7.4828195107469897</v>
      </c>
      <c r="AO63" s="53">
        <f t="shared" si="55"/>
        <v>8.3231723451682456</v>
      </c>
      <c r="AP63" s="53">
        <f t="shared" si="56"/>
        <v>10.003878014010754</v>
      </c>
      <c r="AQ63" s="53">
        <f t="shared" si="57"/>
        <v>10.844230848432009</v>
      </c>
      <c r="AR63" s="24"/>
      <c r="AT63" s="20">
        <f t="shared" si="63"/>
        <v>14</v>
      </c>
      <c r="AU63" s="53">
        <f t="shared" si="58"/>
        <v>5.4181399620874506</v>
      </c>
      <c r="AV63" s="53">
        <f t="shared" si="59"/>
        <v>6.0266203975559165</v>
      </c>
      <c r="AW63" s="53">
        <f t="shared" si="60"/>
        <v>7.2435812684928473</v>
      </c>
      <c r="AX63" s="53">
        <f t="shared" si="61"/>
        <v>7.8520617039613132</v>
      </c>
      <c r="AY63" s="24"/>
      <c r="BS63">
        <f t="shared" si="50"/>
        <v>1</v>
      </c>
      <c r="BT63" s="19">
        <f t="shared" ref="BT63:BT86" si="72">V15</f>
        <v>14.52</v>
      </c>
      <c r="BU63" s="19">
        <f>AF15</f>
        <v>1</v>
      </c>
      <c r="CD63">
        <f t="shared" si="65"/>
        <v>0.06</v>
      </c>
      <c r="CG63" s="83">
        <v>0.06</v>
      </c>
      <c r="CH63" s="84">
        <v>16</v>
      </c>
    </row>
    <row r="64" spans="1:86" x14ac:dyDescent="0.25">
      <c r="A64" s="276"/>
      <c r="B64" s="30">
        <f t="shared" ref="B64:B84" si="73">AC16</f>
        <v>2</v>
      </c>
      <c r="C64" s="68">
        <f t="shared" ref="C64:C84" si="74">AF16</f>
        <v>1.0013774104683195</v>
      </c>
      <c r="E64" s="31">
        <f t="shared" si="52"/>
        <v>-10.367469879518072</v>
      </c>
      <c r="F64" s="31">
        <f t="shared" si="53"/>
        <v>0.1823404438565952</v>
      </c>
      <c r="H64" s="31">
        <f t="shared" si="9"/>
        <v>-1.8904090595012069</v>
      </c>
      <c r="I64" s="31">
        <f t="shared" si="10"/>
        <v>107.48443170271447</v>
      </c>
      <c r="J64" s="31">
        <f t="shared" si="11"/>
        <v>3.3248037465820147E-2</v>
      </c>
      <c r="K64" s="31"/>
      <c r="L64" s="74">
        <f t="shared" si="37"/>
        <v>2</v>
      </c>
      <c r="M64" s="31">
        <f t="shared" si="38"/>
        <v>1.0013774104683195</v>
      </c>
      <c r="N64" s="35">
        <f t="shared" si="39"/>
        <v>0.90671450546663324</v>
      </c>
      <c r="O64" s="35"/>
      <c r="P64" s="35">
        <f t="shared" si="15"/>
        <v>8.9610655833582808E-3</v>
      </c>
      <c r="Q64" s="35">
        <f t="shared" si="16"/>
        <v>-9.4662905001686282E-2</v>
      </c>
      <c r="AC64" s="20">
        <f t="shared" si="64"/>
        <v>12</v>
      </c>
      <c r="AD64" s="37"/>
      <c r="AE64" s="37"/>
      <c r="AF64" s="37">
        <f t="shared" ref="AF64:AF74" si="75">V26/$V26</f>
        <v>1</v>
      </c>
      <c r="AG64" s="37">
        <f t="shared" ref="AG64:AG74" si="76">W26/$V26</f>
        <v>0.90841584158415845</v>
      </c>
      <c r="AH64" s="37">
        <f t="shared" ref="AH64:AH74" si="77">X26/$V26</f>
        <v>0.7541254125412542</v>
      </c>
      <c r="AI64" s="37">
        <f t="shared" ref="AI64:AI74" si="78">Y26/$V26</f>
        <v>0.77887788778877887</v>
      </c>
      <c r="AJ64" s="37">
        <f t="shared" ref="AJ64:AJ74" si="79">Z26/$V26</f>
        <v>0.64356435643564358</v>
      </c>
      <c r="AK64" s="38"/>
      <c r="AM64" s="20">
        <f t="shared" si="62"/>
        <v>15</v>
      </c>
      <c r="AN64" s="53">
        <f t="shared" si="54"/>
        <v>7.3865790196952572</v>
      </c>
      <c r="AO64" s="53">
        <f t="shared" si="55"/>
        <v>8.2269318541165113</v>
      </c>
      <c r="AP64" s="53">
        <f t="shared" si="56"/>
        <v>9.9076375229590212</v>
      </c>
      <c r="AQ64" s="53">
        <f t="shared" si="57"/>
        <v>10.747990357380276</v>
      </c>
      <c r="AR64" s="24"/>
      <c r="AT64" s="20">
        <f t="shared" si="63"/>
        <v>15</v>
      </c>
      <c r="AU64" s="53">
        <f t="shared" si="58"/>
        <v>5.3484544044190612</v>
      </c>
      <c r="AV64" s="53">
        <f t="shared" si="59"/>
        <v>5.9569348398875261</v>
      </c>
      <c r="AW64" s="53">
        <f t="shared" si="60"/>
        <v>7.1738957108244588</v>
      </c>
      <c r="AX64" s="53">
        <f t="shared" si="61"/>
        <v>7.7823761462929237</v>
      </c>
      <c r="AY64" s="24"/>
      <c r="BS64">
        <f t="shared" si="50"/>
        <v>2</v>
      </c>
      <c r="BT64" s="19">
        <f t="shared" si="72"/>
        <v>14.54</v>
      </c>
      <c r="BU64" s="19">
        <f t="shared" ref="BU64:BU86" si="80">AF16</f>
        <v>1.0013774104683195</v>
      </c>
      <c r="CD64">
        <f t="shared" si="65"/>
        <v>0.08</v>
      </c>
      <c r="CG64" s="83">
        <v>0.08</v>
      </c>
      <c r="CH64" s="84">
        <v>8</v>
      </c>
    </row>
    <row r="65" spans="1:86" x14ac:dyDescent="0.25">
      <c r="A65" s="276"/>
      <c r="B65" s="30">
        <f t="shared" si="73"/>
        <v>3</v>
      </c>
      <c r="C65" s="68">
        <f t="shared" si="74"/>
        <v>0.92630853994490359</v>
      </c>
      <c r="E65" s="31">
        <f t="shared" si="52"/>
        <v>-9.3674698795180724</v>
      </c>
      <c r="F65" s="31">
        <f t="shared" si="53"/>
        <v>0.10727157333317927</v>
      </c>
      <c r="H65" s="31">
        <f t="shared" si="9"/>
        <v>-1.004863232127071</v>
      </c>
      <c r="I65" s="31">
        <f t="shared" si="10"/>
        <v>87.749491943678336</v>
      </c>
      <c r="J65" s="31">
        <f t="shared" si="11"/>
        <v>1.1507190445375659E-2</v>
      </c>
      <c r="K65" s="31"/>
      <c r="L65" s="74">
        <f t="shared" si="37"/>
        <v>3</v>
      </c>
      <c r="M65" s="31">
        <f t="shared" si="38"/>
        <v>0.92630853994490359</v>
      </c>
      <c r="N65" s="35">
        <f t="shared" si="39"/>
        <v>0.89825752031270245</v>
      </c>
      <c r="O65" s="35"/>
      <c r="P65" s="35">
        <f t="shared" si="15"/>
        <v>7.8685970240613347E-4</v>
      </c>
      <c r="Q65" s="35">
        <f t="shared" si="16"/>
        <v>-2.8051019632201135E-2</v>
      </c>
      <c r="AC65" s="20">
        <f t="shared" si="64"/>
        <v>13</v>
      </c>
      <c r="AD65" s="37"/>
      <c r="AE65" s="37"/>
      <c r="AF65" s="37">
        <f t="shared" si="75"/>
        <v>1</v>
      </c>
      <c r="AG65" s="37">
        <f t="shared" si="76"/>
        <v>0.91084945332211942</v>
      </c>
      <c r="AH65" s="37">
        <f t="shared" si="77"/>
        <v>0.80656013456686282</v>
      </c>
      <c r="AI65" s="37">
        <f t="shared" si="78"/>
        <v>0.83010933557611433</v>
      </c>
      <c r="AJ65" s="37">
        <f t="shared" si="79"/>
        <v>0.6291000841042893</v>
      </c>
      <c r="AK65" s="38"/>
      <c r="AM65" s="20">
        <f t="shared" si="62"/>
        <v>16</v>
      </c>
      <c r="AN65" s="53">
        <f t="shared" si="54"/>
        <v>7.2903385286435247</v>
      </c>
      <c r="AO65" s="53">
        <f t="shared" si="55"/>
        <v>8.1306913630647806</v>
      </c>
      <c r="AP65" s="53">
        <f t="shared" si="56"/>
        <v>9.8113970319072887</v>
      </c>
      <c r="AQ65" s="53">
        <f t="shared" si="57"/>
        <v>10.651749866328544</v>
      </c>
      <c r="AR65" s="24"/>
      <c r="AT65" s="20">
        <f t="shared" si="63"/>
        <v>16</v>
      </c>
      <c r="AU65" s="53">
        <f t="shared" si="58"/>
        <v>5.2787688467506717</v>
      </c>
      <c r="AV65" s="53">
        <f t="shared" si="59"/>
        <v>5.8872492822191376</v>
      </c>
      <c r="AW65" s="53">
        <f t="shared" si="60"/>
        <v>7.1042101531560675</v>
      </c>
      <c r="AX65" s="53">
        <f t="shared" si="61"/>
        <v>7.7126905886245343</v>
      </c>
      <c r="AY65" s="24"/>
      <c r="BS65">
        <f t="shared" si="50"/>
        <v>3</v>
      </c>
      <c r="BT65" s="19">
        <f t="shared" si="72"/>
        <v>13.45</v>
      </c>
      <c r="BU65" s="19">
        <f t="shared" si="80"/>
        <v>0.92630853994490359</v>
      </c>
      <c r="CD65">
        <f t="shared" si="65"/>
        <v>0.1</v>
      </c>
      <c r="CG65" s="83">
        <v>0.1</v>
      </c>
      <c r="CH65" s="84">
        <v>3</v>
      </c>
    </row>
    <row r="66" spans="1:86" x14ac:dyDescent="0.25">
      <c r="A66" s="276"/>
      <c r="B66" s="30">
        <f t="shared" si="73"/>
        <v>4</v>
      </c>
      <c r="C66" s="68">
        <f t="shared" si="74"/>
        <v>0.91184573002754821</v>
      </c>
      <c r="E66" s="31">
        <f t="shared" si="52"/>
        <v>-8.3674698795180724</v>
      </c>
      <c r="F66" s="31">
        <f t="shared" si="53"/>
        <v>9.2808763415823892E-2</v>
      </c>
      <c r="H66" s="31">
        <f t="shared" si="9"/>
        <v>-0.77657453243722518</v>
      </c>
      <c r="I66" s="31">
        <f t="shared" si="10"/>
        <v>70.014552184642184</v>
      </c>
      <c r="J66" s="31">
        <f t="shared" si="11"/>
        <v>8.6134665667743707E-3</v>
      </c>
      <c r="K66" s="31"/>
      <c r="L66" s="74">
        <f t="shared" si="37"/>
        <v>4</v>
      </c>
      <c r="M66" s="31">
        <f t="shared" si="38"/>
        <v>0.91184573002754821</v>
      </c>
      <c r="N66" s="35">
        <f t="shared" si="39"/>
        <v>0.88980053515877167</v>
      </c>
      <c r="O66" s="35"/>
      <c r="P66" s="35">
        <f t="shared" si="15"/>
        <v>4.8599061680233154E-4</v>
      </c>
      <c r="Q66" s="35">
        <f t="shared" si="16"/>
        <v>-2.2045194868776541E-2</v>
      </c>
      <c r="AC66" s="20">
        <f t="shared" si="64"/>
        <v>14</v>
      </c>
      <c r="AD66" s="37"/>
      <c r="AE66" s="37"/>
      <c r="AF66" s="37">
        <f t="shared" si="75"/>
        <v>1</v>
      </c>
      <c r="AG66" s="37">
        <f t="shared" si="76"/>
        <v>0.76201550387596895</v>
      </c>
      <c r="AH66" s="37">
        <f t="shared" si="77"/>
        <v>0.76511627906976731</v>
      </c>
      <c r="AI66" s="37">
        <f t="shared" si="78"/>
        <v>0.75736434108527129</v>
      </c>
      <c r="AJ66" s="37">
        <f t="shared" si="79"/>
        <v>0.62790697674418605</v>
      </c>
      <c r="AK66" s="38"/>
      <c r="AM66" s="20">
        <f t="shared" si="62"/>
        <v>17</v>
      </c>
      <c r="AN66" s="53">
        <f t="shared" si="54"/>
        <v>7.1940980375917922</v>
      </c>
      <c r="AO66" s="53">
        <f t="shared" si="55"/>
        <v>8.0344508720130463</v>
      </c>
      <c r="AP66" s="53">
        <f t="shared" si="56"/>
        <v>9.715156540855558</v>
      </c>
      <c r="AQ66" s="53">
        <f t="shared" si="57"/>
        <v>10.555509375276811</v>
      </c>
      <c r="AR66" s="24"/>
      <c r="AT66" s="20">
        <f t="shared" si="63"/>
        <v>17</v>
      </c>
      <c r="AU66" s="53">
        <f t="shared" si="58"/>
        <v>5.2090832890822822</v>
      </c>
      <c r="AV66" s="53">
        <f t="shared" si="59"/>
        <v>5.8175637245507472</v>
      </c>
      <c r="AW66" s="53">
        <f t="shared" si="60"/>
        <v>7.0345245954876789</v>
      </c>
      <c r="AX66" s="53">
        <f t="shared" si="61"/>
        <v>7.6430050309561439</v>
      </c>
      <c r="AY66" s="24"/>
      <c r="BS66">
        <f t="shared" si="50"/>
        <v>4</v>
      </c>
      <c r="BT66" s="19">
        <f t="shared" si="72"/>
        <v>13.24</v>
      </c>
      <c r="BU66" s="19">
        <f t="shared" si="80"/>
        <v>0.91184573002754821</v>
      </c>
      <c r="CD66">
        <f t="shared" si="65"/>
        <v>0.12000000000000001</v>
      </c>
      <c r="CG66" s="83">
        <v>0.12000000000000001</v>
      </c>
      <c r="CH66" s="84">
        <v>3</v>
      </c>
    </row>
    <row r="67" spans="1:86" x14ac:dyDescent="0.25">
      <c r="A67" s="276"/>
      <c r="B67" s="30">
        <f t="shared" si="73"/>
        <v>5</v>
      </c>
      <c r="C67" s="68">
        <f t="shared" si="74"/>
        <v>0.94008264462809921</v>
      </c>
      <c r="E67" s="31">
        <f t="shared" si="52"/>
        <v>-7.3674698795180724</v>
      </c>
      <c r="F67" s="31">
        <f t="shared" si="53"/>
        <v>0.12104567801637489</v>
      </c>
      <c r="H67" s="31">
        <f t="shared" si="9"/>
        <v>-0.89180038683148488</v>
      </c>
      <c r="I67" s="31">
        <f t="shared" si="10"/>
        <v>54.279612425606039</v>
      </c>
      <c r="J67" s="31">
        <f t="shared" si="11"/>
        <v>1.4652056166443904E-2</v>
      </c>
      <c r="K67" s="31"/>
      <c r="L67" s="74">
        <f t="shared" si="37"/>
        <v>5</v>
      </c>
      <c r="M67" s="31">
        <f t="shared" si="38"/>
        <v>0.94008264462809921</v>
      </c>
      <c r="N67" s="35">
        <f t="shared" si="39"/>
        <v>0.88134355000484088</v>
      </c>
      <c r="O67" s="35"/>
      <c r="P67" s="35">
        <f t="shared" si="15"/>
        <v>3.4502812371600953E-3</v>
      </c>
      <c r="Q67" s="35">
        <f t="shared" si="16"/>
        <v>-5.8739094623258326E-2</v>
      </c>
      <c r="AC67" s="20">
        <f t="shared" si="64"/>
        <v>15</v>
      </c>
      <c r="AD67" s="37"/>
      <c r="AE67" s="37"/>
      <c r="AF67" s="37">
        <f t="shared" si="75"/>
        <v>1</v>
      </c>
      <c r="AG67" s="37">
        <f t="shared" si="76"/>
        <v>0.89492430988423866</v>
      </c>
      <c r="AH67" s="37">
        <f t="shared" si="77"/>
        <v>0.75868210151380222</v>
      </c>
      <c r="AI67" s="37">
        <f t="shared" si="78"/>
        <v>0.78361531611754232</v>
      </c>
      <c r="AJ67" s="37">
        <f t="shared" si="79"/>
        <v>0.73196794300979517</v>
      </c>
      <c r="AK67" s="38"/>
      <c r="AM67" s="20">
        <f t="shared" si="62"/>
        <v>18</v>
      </c>
      <c r="AN67" s="53">
        <f t="shared" si="54"/>
        <v>7.0978575465400597</v>
      </c>
      <c r="AO67" s="53">
        <f t="shared" si="55"/>
        <v>7.9382103809613156</v>
      </c>
      <c r="AP67" s="53">
        <f t="shared" si="56"/>
        <v>9.6189160498038238</v>
      </c>
      <c r="AQ67" s="53">
        <f t="shared" si="57"/>
        <v>10.459268884225079</v>
      </c>
      <c r="AR67" s="24"/>
      <c r="AT67" s="20">
        <f t="shared" si="63"/>
        <v>18</v>
      </c>
      <c r="AU67" s="53">
        <f t="shared" si="58"/>
        <v>5.1393977314138919</v>
      </c>
      <c r="AV67" s="53">
        <f t="shared" si="59"/>
        <v>5.7478781668823586</v>
      </c>
      <c r="AW67" s="53">
        <f t="shared" si="60"/>
        <v>6.9648390378192886</v>
      </c>
      <c r="AX67" s="53">
        <f t="shared" si="61"/>
        <v>7.5733194732877545</v>
      </c>
      <c r="AY67" s="24"/>
      <c r="BS67">
        <f t="shared" si="50"/>
        <v>5</v>
      </c>
      <c r="BT67" s="19">
        <f t="shared" si="72"/>
        <v>13.65</v>
      </c>
      <c r="BU67" s="19">
        <f t="shared" si="80"/>
        <v>0.94008264462809921</v>
      </c>
      <c r="CD67">
        <f t="shared" si="65"/>
        <v>0.14000000000000001</v>
      </c>
      <c r="CG67" s="83">
        <v>0.14000000000000001</v>
      </c>
      <c r="CH67" s="84">
        <v>4</v>
      </c>
    </row>
    <row r="68" spans="1:86" x14ac:dyDescent="0.25">
      <c r="A68" s="276"/>
      <c r="B68" s="30">
        <f t="shared" si="73"/>
        <v>6</v>
      </c>
      <c r="C68" s="68">
        <f t="shared" si="74"/>
        <v>0.89807162534435259</v>
      </c>
      <c r="E68" s="31">
        <f t="shared" si="52"/>
        <v>-6.3674698795180724</v>
      </c>
      <c r="F68" s="31">
        <f t="shared" si="53"/>
        <v>7.9034658732628271E-2</v>
      </c>
      <c r="H68" s="31">
        <f t="shared" si="9"/>
        <v>-0.50325080891800056</v>
      </c>
      <c r="I68" s="31">
        <f t="shared" si="10"/>
        <v>40.544672666569895</v>
      </c>
      <c r="J68" s="31">
        <f t="shared" si="11"/>
        <v>6.246477280983014E-3</v>
      </c>
      <c r="K68" s="31"/>
      <c r="L68" s="74">
        <f t="shared" si="37"/>
        <v>6</v>
      </c>
      <c r="M68" s="31">
        <f t="shared" si="38"/>
        <v>0.89807162534435259</v>
      </c>
      <c r="N68" s="35">
        <f t="shared" si="39"/>
        <v>0.8728865648509101</v>
      </c>
      <c r="O68" s="35"/>
      <c r="P68" s="35">
        <f t="shared" si="15"/>
        <v>6.342872720583577E-4</v>
      </c>
      <c r="Q68" s="35">
        <f t="shared" si="16"/>
        <v>-2.518506049344249E-2</v>
      </c>
      <c r="AC68" s="20">
        <f t="shared" si="64"/>
        <v>16</v>
      </c>
      <c r="AD68" s="37"/>
      <c r="AE68" s="37"/>
      <c r="AF68" s="37">
        <f t="shared" si="75"/>
        <v>1</v>
      </c>
      <c r="AG68" s="37">
        <f t="shared" si="76"/>
        <v>0.92027729636048528</v>
      </c>
      <c r="AH68" s="37">
        <f t="shared" si="77"/>
        <v>0.79896013864818038</v>
      </c>
      <c r="AI68" s="37">
        <f t="shared" si="78"/>
        <v>0.80762564991334496</v>
      </c>
      <c r="AJ68" s="37">
        <f t="shared" si="79"/>
        <v>0.70537261698440223</v>
      </c>
      <c r="AK68" s="38"/>
      <c r="AM68" s="20">
        <f t="shared" si="62"/>
        <v>19</v>
      </c>
      <c r="AN68" s="53">
        <f t="shared" si="54"/>
        <v>7.0016170554883281</v>
      </c>
      <c r="AO68" s="53">
        <f t="shared" si="55"/>
        <v>7.8419698899095822</v>
      </c>
      <c r="AP68" s="53">
        <f t="shared" si="56"/>
        <v>9.522675558752093</v>
      </c>
      <c r="AQ68" s="53">
        <f t="shared" si="57"/>
        <v>10.363028393173346</v>
      </c>
      <c r="AR68" s="24"/>
      <c r="AT68" s="20">
        <f t="shared" si="63"/>
        <v>19</v>
      </c>
      <c r="AU68" s="53">
        <f t="shared" si="58"/>
        <v>5.0697121737455024</v>
      </c>
      <c r="AV68" s="53">
        <f t="shared" si="59"/>
        <v>5.6781926092139674</v>
      </c>
      <c r="AW68" s="53">
        <f t="shared" si="60"/>
        <v>6.8951534801509</v>
      </c>
      <c r="AX68" s="53">
        <f t="shared" si="61"/>
        <v>7.503633915619365</v>
      </c>
      <c r="AY68" s="24"/>
      <c r="BS68">
        <f t="shared" si="50"/>
        <v>6</v>
      </c>
      <c r="BT68" s="19">
        <f t="shared" si="72"/>
        <v>13.04</v>
      </c>
      <c r="BU68" s="19">
        <f t="shared" si="80"/>
        <v>0.89807162534435259</v>
      </c>
      <c r="CD68">
        <f t="shared" si="65"/>
        <v>0.16</v>
      </c>
      <c r="CG68" s="83">
        <v>0.16</v>
      </c>
      <c r="CH68" s="84">
        <v>3</v>
      </c>
    </row>
    <row r="69" spans="1:86" x14ac:dyDescent="0.25">
      <c r="A69" s="276"/>
      <c r="B69" s="30">
        <f t="shared" si="73"/>
        <v>7</v>
      </c>
      <c r="C69" s="68">
        <f t="shared" si="74"/>
        <v>0.92079889807162529</v>
      </c>
      <c r="E69" s="31">
        <f t="shared" si="52"/>
        <v>-5.3674698795180724</v>
      </c>
      <c r="F69" s="31">
        <f t="shared" si="53"/>
        <v>0.10176193145990098</v>
      </c>
      <c r="H69" s="31">
        <f t="shared" si="9"/>
        <v>-0.54620410199260105</v>
      </c>
      <c r="I69" s="31">
        <f t="shared" si="10"/>
        <v>28.80973290753375</v>
      </c>
      <c r="J69" s="31">
        <f t="shared" si="11"/>
        <v>1.0355490694449585E-2</v>
      </c>
      <c r="K69" s="31"/>
      <c r="L69" s="74">
        <f t="shared" si="37"/>
        <v>7</v>
      </c>
      <c r="M69" s="31">
        <f t="shared" si="38"/>
        <v>0.92079889807162529</v>
      </c>
      <c r="N69" s="35">
        <f t="shared" si="39"/>
        <v>0.86442957969697931</v>
      </c>
      <c r="O69" s="35"/>
      <c r="P69" s="35">
        <f t="shared" si="15"/>
        <v>3.177500054022201E-3</v>
      </c>
      <c r="Q69" s="35">
        <f t="shared" si="16"/>
        <v>-5.6369318374645982E-2</v>
      </c>
      <c r="AC69" s="20">
        <f t="shared" si="64"/>
        <v>17</v>
      </c>
      <c r="AD69" s="37"/>
      <c r="AE69" s="37"/>
      <c r="AF69" s="37">
        <f t="shared" si="75"/>
        <v>1</v>
      </c>
      <c r="AG69" s="37">
        <f t="shared" si="76"/>
        <v>0.90541702493551146</v>
      </c>
      <c r="AH69" s="37">
        <f t="shared" si="77"/>
        <v>0.80739466895958723</v>
      </c>
      <c r="AI69" s="37">
        <f t="shared" si="78"/>
        <v>0.82631126397248489</v>
      </c>
      <c r="AJ69" s="37">
        <f t="shared" si="79"/>
        <v>0.6612209802235598</v>
      </c>
      <c r="AK69" s="38"/>
      <c r="AM69" s="20">
        <f t="shared" si="62"/>
        <v>20</v>
      </c>
      <c r="AN69" s="53">
        <f t="shared" si="54"/>
        <v>6.9053765644365956</v>
      </c>
      <c r="AO69" s="53">
        <f t="shared" si="55"/>
        <v>7.7457293988578506</v>
      </c>
      <c r="AP69" s="53">
        <f t="shared" si="56"/>
        <v>9.4264350677003588</v>
      </c>
      <c r="AQ69" s="53">
        <f t="shared" si="57"/>
        <v>10.266787902121614</v>
      </c>
      <c r="AR69" s="24"/>
      <c r="AT69" s="20">
        <f t="shared" si="63"/>
        <v>20</v>
      </c>
      <c r="AU69" s="53">
        <f t="shared" si="58"/>
        <v>5.000026616077113</v>
      </c>
      <c r="AV69" s="53">
        <f t="shared" si="59"/>
        <v>5.6085070515455788</v>
      </c>
      <c r="AW69" s="53">
        <f t="shared" si="60"/>
        <v>6.8254679224825088</v>
      </c>
      <c r="AX69" s="53">
        <f t="shared" si="61"/>
        <v>7.4339483579509755</v>
      </c>
      <c r="AY69" s="24"/>
      <c r="BS69">
        <f t="shared" si="50"/>
        <v>7</v>
      </c>
      <c r="BT69" s="19">
        <f t="shared" si="72"/>
        <v>13.37</v>
      </c>
      <c r="BU69" s="19">
        <f t="shared" si="80"/>
        <v>0.92079889807162529</v>
      </c>
      <c r="CD69">
        <f t="shared" si="65"/>
        <v>0.18</v>
      </c>
      <c r="CG69" s="83">
        <v>0.18</v>
      </c>
      <c r="CH69" s="84">
        <v>1</v>
      </c>
    </row>
    <row r="70" spans="1:86" x14ac:dyDescent="0.25">
      <c r="A70" s="276"/>
      <c r="B70" s="30">
        <f t="shared" si="73"/>
        <v>8</v>
      </c>
      <c r="C70" s="68">
        <f t="shared" si="74"/>
        <v>0.8891184573002755</v>
      </c>
      <c r="E70" s="31">
        <f t="shared" si="52"/>
        <v>-4.3674698795180724</v>
      </c>
      <c r="F70" s="31">
        <f t="shared" si="53"/>
        <v>7.0081490688551185E-2</v>
      </c>
      <c r="H70" s="31">
        <f t="shared" si="9"/>
        <v>-0.30607879969397356</v>
      </c>
      <c r="I70" s="31">
        <f t="shared" si="10"/>
        <v>19.074793148497605</v>
      </c>
      <c r="J70" s="31">
        <f t="shared" si="11"/>
        <v>4.9114153371294864E-3</v>
      </c>
      <c r="K70" s="31"/>
      <c r="L70" s="74">
        <f t="shared" si="37"/>
        <v>8</v>
      </c>
      <c r="M70" s="31">
        <f t="shared" si="38"/>
        <v>0.8891184573002755</v>
      </c>
      <c r="N70" s="35">
        <f t="shared" si="39"/>
        <v>0.85597259454304853</v>
      </c>
      <c r="O70" s="35"/>
      <c r="P70" s="35">
        <f t="shared" si="15"/>
        <v>1.0986482179209261E-3</v>
      </c>
      <c r="Q70" s="35">
        <f t="shared" si="16"/>
        <v>-3.3145862757226974E-2</v>
      </c>
      <c r="AC70" s="20">
        <f t="shared" si="64"/>
        <v>18</v>
      </c>
      <c r="AD70" s="37"/>
      <c r="AE70" s="37"/>
      <c r="AF70" s="37">
        <f t="shared" si="75"/>
        <v>1</v>
      </c>
      <c r="AG70" s="37">
        <f t="shared" si="76"/>
        <v>0.85754716981132073</v>
      </c>
      <c r="AH70" s="37">
        <f t="shared" si="77"/>
        <v>0.95188679245283025</v>
      </c>
      <c r="AI70" s="37">
        <f t="shared" si="78"/>
        <v>0.82169811320754726</v>
      </c>
      <c r="AJ70" s="37">
        <f t="shared" si="79"/>
        <v>0.70849056603773586</v>
      </c>
      <c r="AK70" s="38"/>
      <c r="AM70" s="20">
        <f t="shared" si="62"/>
        <v>21</v>
      </c>
      <c r="AN70" s="53">
        <f t="shared" si="54"/>
        <v>6.8091360733848632</v>
      </c>
      <c r="AO70" s="53">
        <f t="shared" si="55"/>
        <v>7.6494889078061172</v>
      </c>
      <c r="AP70" s="53">
        <f t="shared" si="56"/>
        <v>9.3301945766486281</v>
      </c>
      <c r="AQ70" s="53">
        <f t="shared" si="57"/>
        <v>10.170547411069881</v>
      </c>
      <c r="AR70" s="24"/>
      <c r="AT70" s="20">
        <f t="shared" si="63"/>
        <v>21</v>
      </c>
      <c r="AU70" s="53">
        <f t="shared" si="58"/>
        <v>4.9303410584087235</v>
      </c>
      <c r="AV70" s="53">
        <f t="shared" si="59"/>
        <v>5.5388214938771885</v>
      </c>
      <c r="AW70" s="53">
        <f t="shared" si="60"/>
        <v>6.7557823648141202</v>
      </c>
      <c r="AX70" s="53">
        <f t="shared" si="61"/>
        <v>7.3642628002825852</v>
      </c>
      <c r="AY70" s="24"/>
      <c r="BS70">
        <f t="shared" si="50"/>
        <v>8</v>
      </c>
      <c r="BT70" s="19">
        <f t="shared" si="72"/>
        <v>12.91</v>
      </c>
      <c r="BU70" s="19">
        <f t="shared" si="80"/>
        <v>0.8891184573002755</v>
      </c>
      <c r="CD70">
        <f>CD69+0.02</f>
        <v>0.19999999999999998</v>
      </c>
      <c r="CG70" s="83">
        <v>0.19999999999999998</v>
      </c>
      <c r="CH70" s="84">
        <v>2</v>
      </c>
    </row>
    <row r="71" spans="1:86" ht="15.75" thickBot="1" x14ac:dyDescent="0.3">
      <c r="A71" s="276"/>
      <c r="B71" s="30">
        <f t="shared" si="73"/>
        <v>9</v>
      </c>
      <c r="C71" s="68">
        <f t="shared" si="74"/>
        <v>0.87603305785123975</v>
      </c>
      <c r="E71" s="31">
        <f t="shared" si="52"/>
        <v>-3.3674698795180724</v>
      </c>
      <c r="F71" s="31">
        <f t="shared" si="53"/>
        <v>5.6996091239515434E-2</v>
      </c>
      <c r="H71" s="31">
        <f t="shared" si="9"/>
        <v>-0.1919326204993321</v>
      </c>
      <c r="I71" s="31">
        <f t="shared" si="10"/>
        <v>11.339853389461462</v>
      </c>
      <c r="J71" s="31">
        <f t="shared" si="11"/>
        <v>3.248554416583168E-3</v>
      </c>
      <c r="K71" s="31"/>
      <c r="L71" s="74">
        <f t="shared" si="37"/>
        <v>9</v>
      </c>
      <c r="M71" s="31">
        <f t="shared" si="38"/>
        <v>0.87603305785123975</v>
      </c>
      <c r="N71" s="35">
        <f t="shared" si="39"/>
        <v>0.84751560938911774</v>
      </c>
      <c r="O71" s="35"/>
      <c r="P71" s="35">
        <f t="shared" si="15"/>
        <v>8.1324486678978488E-4</v>
      </c>
      <c r="Q71" s="35">
        <f t="shared" si="16"/>
        <v>-2.8517448462122008E-2</v>
      </c>
      <c r="AC71" s="20">
        <f t="shared" si="64"/>
        <v>19</v>
      </c>
      <c r="AD71" s="37"/>
      <c r="AE71" s="37"/>
      <c r="AF71" s="37">
        <f t="shared" si="75"/>
        <v>1</v>
      </c>
      <c r="AG71" s="37">
        <f t="shared" si="76"/>
        <v>1.0512077294685991</v>
      </c>
      <c r="AH71" s="37">
        <f t="shared" si="77"/>
        <v>0.86956521739130432</v>
      </c>
      <c r="AI71" s="37">
        <f t="shared" si="78"/>
        <v>0.91111111111111109</v>
      </c>
      <c r="AJ71" s="37">
        <f t="shared" si="79"/>
        <v>0.71884057971014503</v>
      </c>
      <c r="AK71" s="38"/>
      <c r="AM71" s="20">
        <f t="shared" si="62"/>
        <v>22</v>
      </c>
      <c r="AN71" s="53">
        <f t="shared" si="54"/>
        <v>6.7128955823331307</v>
      </c>
      <c r="AO71" s="53">
        <f t="shared" si="55"/>
        <v>7.5532484167543856</v>
      </c>
      <c r="AP71" s="53">
        <f t="shared" si="56"/>
        <v>9.2339540855968938</v>
      </c>
      <c r="AQ71" s="53">
        <f t="shared" si="57"/>
        <v>10.074306920018149</v>
      </c>
      <c r="AR71" s="24"/>
      <c r="AT71" s="20">
        <f t="shared" si="63"/>
        <v>22</v>
      </c>
      <c r="AU71" s="53">
        <f t="shared" si="58"/>
        <v>4.8606555007403331</v>
      </c>
      <c r="AV71" s="53">
        <f t="shared" si="59"/>
        <v>5.4691359362087999</v>
      </c>
      <c r="AW71" s="53">
        <f t="shared" si="60"/>
        <v>6.6860968071457298</v>
      </c>
      <c r="AX71" s="53">
        <f t="shared" si="61"/>
        <v>7.2945772426141957</v>
      </c>
      <c r="AY71" s="24"/>
      <c r="BS71">
        <f t="shared" si="50"/>
        <v>9</v>
      </c>
      <c r="BT71" s="19">
        <f t="shared" si="72"/>
        <v>12.72</v>
      </c>
      <c r="BU71" s="19">
        <f t="shared" si="80"/>
        <v>0.87603305785123975</v>
      </c>
      <c r="CG71" s="85" t="s">
        <v>355</v>
      </c>
      <c r="CH71" s="85">
        <v>2</v>
      </c>
    </row>
    <row r="72" spans="1:86" x14ac:dyDescent="0.25">
      <c r="A72" s="276"/>
      <c r="B72" s="30">
        <f t="shared" si="73"/>
        <v>10</v>
      </c>
      <c r="C72" s="68">
        <f t="shared" si="74"/>
        <v>0.84022038567493107</v>
      </c>
      <c r="E72" s="31">
        <f t="shared" si="52"/>
        <v>-2.3674698795180724</v>
      </c>
      <c r="F72" s="31">
        <f t="shared" si="53"/>
        <v>2.1183419063206754E-2</v>
      </c>
      <c r="H72" s="31">
        <f t="shared" si="9"/>
        <v>-5.0151106577350932E-2</v>
      </c>
      <c r="I72" s="31">
        <f t="shared" si="10"/>
        <v>5.6049136304253162</v>
      </c>
      <c r="J72" s="31">
        <f t="shared" si="11"/>
        <v>4.487372432074313E-4</v>
      </c>
      <c r="K72" s="31"/>
      <c r="L72" s="74">
        <f t="shared" si="37"/>
        <v>10</v>
      </c>
      <c r="M72" s="31">
        <f t="shared" si="38"/>
        <v>0.84022038567493107</v>
      </c>
      <c r="N72" s="35">
        <f t="shared" si="39"/>
        <v>0.83905862423518696</v>
      </c>
      <c r="O72" s="35"/>
      <c r="P72" s="35">
        <f t="shared" si="15"/>
        <v>1.3496896428763152E-6</v>
      </c>
      <c r="Q72" s="35">
        <f t="shared" si="16"/>
        <v>-1.1617614397441134E-3</v>
      </c>
      <c r="AC72" s="20">
        <f t="shared" si="64"/>
        <v>20</v>
      </c>
      <c r="AD72" s="37"/>
      <c r="AE72" s="37"/>
      <c r="AF72" s="37">
        <f t="shared" si="75"/>
        <v>1</v>
      </c>
      <c r="AG72" s="37">
        <f t="shared" si="76"/>
        <v>1.0166503428011753</v>
      </c>
      <c r="AH72" s="37">
        <f t="shared" si="77"/>
        <v>0.93927522037218403</v>
      </c>
      <c r="AI72" s="37">
        <f t="shared" si="78"/>
        <v>0.86679725759059734</v>
      </c>
      <c r="AJ72" s="37">
        <f t="shared" si="79"/>
        <v>0.72673849167482851</v>
      </c>
      <c r="AK72" s="38"/>
      <c r="AM72" s="20">
        <f t="shared" si="62"/>
        <v>23</v>
      </c>
      <c r="AN72" s="53">
        <f t="shared" si="54"/>
        <v>6.6166550912813982</v>
      </c>
      <c r="AO72" s="53">
        <f t="shared" si="55"/>
        <v>7.4570079257026523</v>
      </c>
      <c r="AP72" s="53">
        <f t="shared" si="56"/>
        <v>9.1377135945451631</v>
      </c>
      <c r="AQ72" s="53">
        <f t="shared" si="57"/>
        <v>9.978066428966418</v>
      </c>
      <c r="AR72" s="24"/>
      <c r="AT72" s="20">
        <f t="shared" si="63"/>
        <v>23</v>
      </c>
      <c r="AU72" s="53">
        <f t="shared" si="58"/>
        <v>4.7909699430719437</v>
      </c>
      <c r="AV72" s="53">
        <f t="shared" si="59"/>
        <v>5.3994503785404087</v>
      </c>
      <c r="AW72" s="53">
        <f t="shared" si="60"/>
        <v>6.6164112494773413</v>
      </c>
      <c r="AX72" s="53">
        <f t="shared" si="61"/>
        <v>7.2248916849458062</v>
      </c>
      <c r="AY72" s="24"/>
      <c r="BS72">
        <f t="shared" si="50"/>
        <v>10</v>
      </c>
      <c r="BT72" s="19">
        <f t="shared" si="72"/>
        <v>12.2</v>
      </c>
      <c r="BU72" s="19">
        <f t="shared" si="80"/>
        <v>0.84022038567493107</v>
      </c>
    </row>
    <row r="73" spans="1:86" ht="15.75" thickBot="1" x14ac:dyDescent="0.3">
      <c r="A73" s="276"/>
      <c r="B73" s="30">
        <f t="shared" si="73"/>
        <v>11</v>
      </c>
      <c r="C73" s="68">
        <f t="shared" si="74"/>
        <v>0.96625344352617082</v>
      </c>
      <c r="E73" s="31">
        <f t="shared" si="52"/>
        <v>-1.3674698795180724</v>
      </c>
      <c r="F73" s="31">
        <f t="shared" si="53"/>
        <v>0.1472164769144465</v>
      </c>
      <c r="H73" s="31">
        <f t="shared" si="9"/>
        <v>-0.20131409794927324</v>
      </c>
      <c r="I73" s="31">
        <f t="shared" si="10"/>
        <v>1.8699738713891716</v>
      </c>
      <c r="J73" s="31">
        <f t="shared" si="11"/>
        <v>2.1672691075101759E-2</v>
      </c>
      <c r="K73" s="31"/>
      <c r="L73" s="74">
        <f t="shared" si="37"/>
        <v>11</v>
      </c>
      <c r="M73" s="31">
        <f t="shared" si="38"/>
        <v>0.96625344352617082</v>
      </c>
      <c r="N73" s="35">
        <f t="shared" si="39"/>
        <v>0.83060163908125617</v>
      </c>
      <c r="O73" s="35"/>
      <c r="P73" s="35">
        <f t="shared" si="15"/>
        <v>1.8401412049161365E-2</v>
      </c>
      <c r="Q73" s="35">
        <f t="shared" si="16"/>
        <v>-0.13565180444491465</v>
      </c>
      <c r="AC73" s="20">
        <f t="shared" si="64"/>
        <v>21</v>
      </c>
      <c r="AD73" s="37"/>
      <c r="AE73" s="37"/>
      <c r="AF73" s="37">
        <f t="shared" si="75"/>
        <v>1</v>
      </c>
      <c r="AG73" s="37">
        <f t="shared" si="76"/>
        <v>0.95825049701789267</v>
      </c>
      <c r="AH73" s="37">
        <f t="shared" si="77"/>
        <v>0.83399602385685889</v>
      </c>
      <c r="AI73" s="37">
        <f t="shared" si="78"/>
        <v>0.79522862823061624</v>
      </c>
      <c r="AJ73" s="37">
        <f t="shared" si="79"/>
        <v>0.71172962226640157</v>
      </c>
      <c r="AK73" s="38"/>
      <c r="AM73" s="25">
        <f t="shared" si="62"/>
        <v>24</v>
      </c>
      <c r="AN73" s="55">
        <f t="shared" si="54"/>
        <v>6.5204146002296657</v>
      </c>
      <c r="AO73" s="55">
        <f t="shared" si="55"/>
        <v>7.3607674346509215</v>
      </c>
      <c r="AP73" s="55">
        <f t="shared" si="56"/>
        <v>9.0414731034934288</v>
      </c>
      <c r="AQ73" s="55">
        <f t="shared" si="57"/>
        <v>9.8818259379146856</v>
      </c>
      <c r="AR73" s="88"/>
      <c r="AT73" s="25">
        <f t="shared" si="63"/>
        <v>24</v>
      </c>
      <c r="AU73" s="55">
        <f t="shared" si="58"/>
        <v>4.7212843854035542</v>
      </c>
      <c r="AV73" s="55">
        <f t="shared" si="59"/>
        <v>5.3297648208720201</v>
      </c>
      <c r="AW73" s="55">
        <f t="shared" si="60"/>
        <v>6.54672569180895</v>
      </c>
      <c r="AX73" s="55">
        <f t="shared" si="61"/>
        <v>7.1552061272774168</v>
      </c>
      <c r="AY73" s="88"/>
      <c r="BS73">
        <f t="shared" si="50"/>
        <v>11</v>
      </c>
      <c r="BT73" s="19">
        <f t="shared" si="72"/>
        <v>14.03</v>
      </c>
      <c r="BU73" s="19">
        <f t="shared" si="80"/>
        <v>0.96625344352617082</v>
      </c>
    </row>
    <row r="74" spans="1:86" ht="15.75" thickTop="1" x14ac:dyDescent="0.25">
      <c r="A74" s="276"/>
      <c r="B74" s="30">
        <f t="shared" si="73"/>
        <v>12</v>
      </c>
      <c r="C74" s="68">
        <f t="shared" si="74"/>
        <v>0.83471074380165289</v>
      </c>
      <c r="E74" s="31">
        <f t="shared" si="52"/>
        <v>-0.36746987951807242</v>
      </c>
      <c r="F74" s="31">
        <f t="shared" si="53"/>
        <v>1.5673777189928573E-2</v>
      </c>
      <c r="H74" s="31">
        <f t="shared" si="9"/>
        <v>-5.7596410155761639E-3</v>
      </c>
      <c r="I74" s="31">
        <f t="shared" si="10"/>
        <v>0.13503411235302665</v>
      </c>
      <c r="J74" s="31">
        <f t="shared" si="11"/>
        <v>2.456672913995252E-4</v>
      </c>
      <c r="K74" s="31"/>
      <c r="L74" s="74">
        <f t="shared" si="37"/>
        <v>12</v>
      </c>
      <c r="M74" s="31">
        <f t="shared" si="38"/>
        <v>0.83471074380165289</v>
      </c>
      <c r="N74" s="35">
        <f t="shared" si="39"/>
        <v>0.82214465392732539</v>
      </c>
      <c r="O74" s="35"/>
      <c r="P74" s="35">
        <f t="shared" si="15"/>
        <v>1.5790661472967618E-4</v>
      </c>
      <c r="Q74" s="35">
        <f t="shared" si="16"/>
        <v>-1.2566089874327502E-2</v>
      </c>
      <c r="AC74" s="20">
        <f t="shared" si="64"/>
        <v>22</v>
      </c>
      <c r="AD74" s="37"/>
      <c r="AE74" s="37"/>
      <c r="AF74" s="37">
        <f t="shared" si="75"/>
        <v>1</v>
      </c>
      <c r="AG74" s="37">
        <f t="shared" si="76"/>
        <v>0.85255198487712658</v>
      </c>
      <c r="AH74" s="37">
        <f t="shared" si="77"/>
        <v>0.80812854442344051</v>
      </c>
      <c r="AI74" s="37">
        <f t="shared" si="78"/>
        <v>0.81001890359168249</v>
      </c>
      <c r="AJ74" s="37">
        <f t="shared" si="79"/>
        <v>0.64177693761814747</v>
      </c>
      <c r="AK74" s="38"/>
      <c r="BS74">
        <f t="shared" si="50"/>
        <v>12</v>
      </c>
      <c r="BT74" s="19">
        <f t="shared" si="72"/>
        <v>12.12</v>
      </c>
      <c r="BU74" s="19">
        <f t="shared" si="80"/>
        <v>0.83471074380165289</v>
      </c>
    </row>
    <row r="75" spans="1:86" x14ac:dyDescent="0.25">
      <c r="A75" s="276"/>
      <c r="B75" s="30">
        <f t="shared" si="73"/>
        <v>13</v>
      </c>
      <c r="C75" s="68">
        <f t="shared" si="74"/>
        <v>0.81887052341597799</v>
      </c>
      <c r="E75" s="31">
        <f t="shared" si="52"/>
        <v>0.63253012048192758</v>
      </c>
      <c r="F75" s="31">
        <f t="shared" si="53"/>
        <v>-1.6644319574632416E-4</v>
      </c>
      <c r="H75" s="31">
        <f t="shared" si="9"/>
        <v>-1.0528033465881948E-4</v>
      </c>
      <c r="I75" s="31">
        <f t="shared" si="10"/>
        <v>0.40009435331688181</v>
      </c>
      <c r="J75" s="31">
        <f t="shared" si="11"/>
        <v>2.770333741024918E-8</v>
      </c>
      <c r="K75" s="31"/>
      <c r="L75" s="74">
        <f t="shared" si="37"/>
        <v>13</v>
      </c>
      <c r="M75" s="31">
        <f t="shared" si="38"/>
        <v>0.81887052341597799</v>
      </c>
      <c r="N75" s="35">
        <f t="shared" si="39"/>
        <v>0.8136876687733946</v>
      </c>
      <c r="O75" s="35"/>
      <c r="P75" s="35">
        <f t="shared" si="15"/>
        <v>2.6861982246148197E-5</v>
      </c>
      <c r="Q75" s="35">
        <f t="shared" si="16"/>
        <v>-5.1828546425833899E-3</v>
      </c>
      <c r="AC75" s="20">
        <f t="shared" si="64"/>
        <v>23</v>
      </c>
      <c r="AD75" s="37"/>
      <c r="AE75" s="37"/>
      <c r="AF75" s="37">
        <f t="shared" ref="AF75:AI76" si="81">V37/$V37</f>
        <v>1</v>
      </c>
      <c r="AG75" s="37">
        <f t="shared" si="81"/>
        <v>1.0715811965811965</v>
      </c>
      <c r="AH75" s="37">
        <f t="shared" si="81"/>
        <v>0.97008547008547019</v>
      </c>
      <c r="AI75" s="37">
        <f t="shared" si="81"/>
        <v>0.86858974358974372</v>
      </c>
      <c r="AJ75" s="37"/>
      <c r="AK75" s="38"/>
      <c r="BS75">
        <f t="shared" si="50"/>
        <v>13</v>
      </c>
      <c r="BT75" s="19">
        <f t="shared" si="72"/>
        <v>11.89</v>
      </c>
      <c r="BU75" s="19">
        <f t="shared" si="80"/>
        <v>0.81887052341597799</v>
      </c>
    </row>
    <row r="76" spans="1:86" ht="15.75" thickBot="1" x14ac:dyDescent="0.3">
      <c r="A76" s="276"/>
      <c r="B76" s="30">
        <f t="shared" si="73"/>
        <v>14</v>
      </c>
      <c r="C76" s="68">
        <f t="shared" si="74"/>
        <v>0.88842975206611574</v>
      </c>
      <c r="E76" s="31">
        <f t="shared" si="52"/>
        <v>1.6325301204819276</v>
      </c>
      <c r="F76" s="31">
        <f t="shared" si="53"/>
        <v>6.9392785454391426E-2</v>
      </c>
      <c r="H76" s="31">
        <f t="shared" si="9"/>
        <v>0.11328581239843419</v>
      </c>
      <c r="I76" s="31">
        <f t="shared" si="10"/>
        <v>2.6651545942807369</v>
      </c>
      <c r="J76" s="31">
        <f t="shared" si="11"/>
        <v>4.815358673119198E-3</v>
      </c>
      <c r="K76" s="31"/>
      <c r="L76" s="74">
        <f t="shared" si="37"/>
        <v>14</v>
      </c>
      <c r="M76" s="31">
        <f t="shared" si="38"/>
        <v>0.88842975206611574</v>
      </c>
      <c r="N76" s="35">
        <f t="shared" si="39"/>
        <v>0.80523068361946382</v>
      </c>
      <c r="O76" s="35"/>
      <c r="P76" s="35">
        <f t="shared" si="15"/>
        <v>6.9220849903906716E-3</v>
      </c>
      <c r="Q76" s="35">
        <f t="shared" si="16"/>
        <v>-8.3199068446651925E-2</v>
      </c>
      <c r="AC76" s="20">
        <f t="shared" si="64"/>
        <v>24</v>
      </c>
      <c r="AD76" s="39"/>
      <c r="AE76" s="39"/>
      <c r="AF76" s="39">
        <f t="shared" si="81"/>
        <v>1</v>
      </c>
      <c r="AG76" s="39">
        <f t="shared" si="81"/>
        <v>0.99404170804369407</v>
      </c>
      <c r="AH76" s="39">
        <f t="shared" si="81"/>
        <v>1.0377358490566038</v>
      </c>
      <c r="AI76" s="39">
        <f t="shared" si="81"/>
        <v>0.71499503475670312</v>
      </c>
      <c r="AJ76" s="39"/>
      <c r="AK76" s="40"/>
      <c r="BS76">
        <f t="shared" si="50"/>
        <v>14</v>
      </c>
      <c r="BT76" s="19">
        <f t="shared" si="72"/>
        <v>12.9</v>
      </c>
      <c r="BU76" s="19">
        <f t="shared" si="80"/>
        <v>0.88842975206611574</v>
      </c>
    </row>
    <row r="77" spans="1:86" ht="15.75" thickTop="1" x14ac:dyDescent="0.25">
      <c r="A77" s="276"/>
      <c r="B77" s="30">
        <f t="shared" si="73"/>
        <v>15</v>
      </c>
      <c r="C77" s="68">
        <f t="shared" si="74"/>
        <v>0.77341597796143258</v>
      </c>
      <c r="E77" s="31">
        <f t="shared" si="52"/>
        <v>2.6325301204819276</v>
      </c>
      <c r="F77" s="31">
        <f t="shared" si="53"/>
        <v>-4.5620988650291738E-2</v>
      </c>
      <c r="H77" s="31">
        <f t="shared" si="9"/>
        <v>-0.12009862674805716</v>
      </c>
      <c r="I77" s="31">
        <f t="shared" si="10"/>
        <v>6.930214835244592</v>
      </c>
      <c r="J77" s="31">
        <f t="shared" si="11"/>
        <v>2.0812746054300478E-3</v>
      </c>
      <c r="K77" s="31"/>
      <c r="L77" s="74">
        <f t="shared" si="37"/>
        <v>15</v>
      </c>
      <c r="M77" s="31">
        <f t="shared" si="38"/>
        <v>0.77341597796143258</v>
      </c>
      <c r="N77" s="35">
        <f t="shared" si="39"/>
        <v>0.79677369846553303</v>
      </c>
      <c r="O77" s="35"/>
      <c r="P77" s="35">
        <f t="shared" si="15"/>
        <v>5.4558310714767483E-4</v>
      </c>
      <c r="Q77" s="35">
        <f t="shared" si="16"/>
        <v>2.3357720504100454E-2</v>
      </c>
      <c r="BS77">
        <f t="shared" si="50"/>
        <v>15</v>
      </c>
      <c r="BT77" s="19">
        <f t="shared" si="72"/>
        <v>11.23</v>
      </c>
      <c r="BU77" s="19">
        <f t="shared" si="80"/>
        <v>0.77341597796143258</v>
      </c>
    </row>
    <row r="78" spans="1:86" x14ac:dyDescent="0.25">
      <c r="A78" s="276"/>
      <c r="B78" s="30">
        <f t="shared" si="73"/>
        <v>16</v>
      </c>
      <c r="C78" s="68">
        <f t="shared" si="74"/>
        <v>0.79476584022038566</v>
      </c>
      <c r="E78" s="31">
        <f t="shared" si="52"/>
        <v>3.6325301204819276</v>
      </c>
      <c r="F78" s="31">
        <f t="shared" si="53"/>
        <v>-2.427112639133866E-2</v>
      </c>
      <c r="H78" s="31">
        <f t="shared" si="9"/>
        <v>-8.8165597674561516E-2</v>
      </c>
      <c r="I78" s="31">
        <f t="shared" si="10"/>
        <v>13.195275076208448</v>
      </c>
      <c r="J78" s="31">
        <f t="shared" si="11"/>
        <v>5.8908757630433603E-4</v>
      </c>
      <c r="K78" s="31"/>
      <c r="L78" s="74">
        <f t="shared" si="37"/>
        <v>16</v>
      </c>
      <c r="M78" s="31">
        <f t="shared" si="38"/>
        <v>0.79476584022038566</v>
      </c>
      <c r="N78" s="35">
        <f t="shared" si="39"/>
        <v>0.78831671331160225</v>
      </c>
      <c r="O78" s="35"/>
      <c r="P78" s="35">
        <f t="shared" si="15"/>
        <v>4.1591237885594248E-5</v>
      </c>
      <c r="Q78" s="35">
        <f t="shared" si="16"/>
        <v>-6.4491269087834091E-3</v>
      </c>
      <c r="BS78">
        <f t="shared" si="50"/>
        <v>16</v>
      </c>
      <c r="BT78" s="19">
        <f t="shared" si="72"/>
        <v>11.54</v>
      </c>
      <c r="BU78" s="19">
        <f t="shared" si="80"/>
        <v>0.79476584022038566</v>
      </c>
    </row>
    <row r="79" spans="1:86" x14ac:dyDescent="0.25">
      <c r="A79" s="276"/>
      <c r="B79" s="30">
        <f t="shared" si="73"/>
        <v>17</v>
      </c>
      <c r="C79" s="68">
        <f t="shared" si="74"/>
        <v>0.80096418732782382</v>
      </c>
      <c r="E79" s="31">
        <f t="shared" ref="E79:E110" si="82">B79-$B$11</f>
        <v>4.6325301204819276</v>
      </c>
      <c r="F79" s="31">
        <f t="shared" ref="F79:F110" si="83">C79-$C$11</f>
        <v>-1.8072779283900497E-2</v>
      </c>
      <c r="H79" s="31">
        <f t="shared" si="9"/>
        <v>-8.3722694393490851E-2</v>
      </c>
      <c r="I79" s="31">
        <f t="shared" si="10"/>
        <v>21.460335317172301</v>
      </c>
      <c r="J79" s="31">
        <f t="shared" si="11"/>
        <v>3.2662535104458298E-4</v>
      </c>
      <c r="K79" s="31"/>
      <c r="L79" s="74">
        <f t="shared" si="37"/>
        <v>17</v>
      </c>
      <c r="M79" s="31">
        <f t="shared" si="38"/>
        <v>0.80096418732782382</v>
      </c>
      <c r="N79" s="35">
        <f t="shared" si="39"/>
        <v>0.77985972815767146</v>
      </c>
      <c r="O79" s="35"/>
      <c r="P79" s="35">
        <f t="shared" si="15"/>
        <v>4.453981968646279E-4</v>
      </c>
      <c r="Q79" s="35">
        <f t="shared" si="16"/>
        <v>-2.1104459170152357E-2</v>
      </c>
      <c r="BS79">
        <f t="shared" si="50"/>
        <v>17</v>
      </c>
      <c r="BT79" s="19">
        <f t="shared" si="72"/>
        <v>11.63</v>
      </c>
      <c r="BU79" s="19">
        <f t="shared" si="80"/>
        <v>0.80096418732782382</v>
      </c>
    </row>
    <row r="80" spans="1:86" x14ac:dyDescent="0.25">
      <c r="A80" s="276"/>
      <c r="B80" s="30">
        <f t="shared" si="73"/>
        <v>18</v>
      </c>
      <c r="C80" s="68">
        <f t="shared" si="74"/>
        <v>0.73002754820936644</v>
      </c>
      <c r="E80" s="31">
        <f t="shared" si="82"/>
        <v>5.6325301204819276</v>
      </c>
      <c r="F80" s="31">
        <f t="shared" si="83"/>
        <v>-8.9009418402357876E-2</v>
      </c>
      <c r="H80" s="31">
        <f t="shared" ref="H80:H143" si="84">E80*F80</f>
        <v>-0.50134823015785912</v>
      </c>
      <c r="I80" s="31">
        <f t="shared" ref="I80:I143" si="85">E80*E80</f>
        <v>31.725395558136157</v>
      </c>
      <c r="J80" s="31">
        <f t="shared" ref="J80:J143" si="86">F80*F80</f>
        <v>7.9226765643260044E-3</v>
      </c>
      <c r="K80" s="31"/>
      <c r="L80" s="74">
        <f t="shared" si="37"/>
        <v>18</v>
      </c>
      <c r="M80" s="31">
        <f t="shared" si="38"/>
        <v>0.73002754820936644</v>
      </c>
      <c r="N80" s="35">
        <f t="shared" si="39"/>
        <v>0.77140274300374068</v>
      </c>
      <c r="O80" s="35"/>
      <c r="P80" s="35">
        <f t="shared" ref="P80:P143" si="87">(M80-N80)^2</f>
        <v>1.711906744272413E-3</v>
      </c>
      <c r="Q80" s="35">
        <f t="shared" ref="Q80:Q143" si="88">N80-M80</f>
        <v>4.1375194794374237E-2</v>
      </c>
      <c r="BS80">
        <f t="shared" si="50"/>
        <v>18</v>
      </c>
      <c r="BT80" s="19">
        <f t="shared" si="72"/>
        <v>10.6</v>
      </c>
      <c r="BU80" s="19">
        <f t="shared" si="80"/>
        <v>0.73002754820936644</v>
      </c>
    </row>
    <row r="81" spans="1:83" x14ac:dyDescent="0.25">
      <c r="A81" s="276"/>
      <c r="B81" s="30">
        <f t="shared" si="73"/>
        <v>19</v>
      </c>
      <c r="C81" s="68">
        <f t="shared" si="74"/>
        <v>0.71280991735537191</v>
      </c>
      <c r="E81" s="31">
        <f t="shared" si="82"/>
        <v>6.6325301204819276</v>
      </c>
      <c r="F81" s="31">
        <f t="shared" si="83"/>
        <v>-0.1062270492563524</v>
      </c>
      <c r="H81" s="31">
        <f t="shared" si="84"/>
        <v>-0.70455410380267469</v>
      </c>
      <c r="I81" s="31">
        <f t="shared" si="85"/>
        <v>43.990455799100012</v>
      </c>
      <c r="J81" s="31">
        <f t="shared" si="86"/>
        <v>1.128418599371152E-2</v>
      </c>
      <c r="K81" s="31"/>
      <c r="L81" s="74">
        <f t="shared" si="37"/>
        <v>19</v>
      </c>
      <c r="M81" s="31">
        <f t="shared" si="38"/>
        <v>0.71280991735537191</v>
      </c>
      <c r="N81" s="35">
        <f t="shared" si="39"/>
        <v>0.76294575784980989</v>
      </c>
      <c r="O81" s="35"/>
      <c r="P81" s="35">
        <f t="shared" si="87"/>
        <v>2.5136025020837268E-3</v>
      </c>
      <c r="Q81" s="35">
        <f t="shared" si="88"/>
        <v>5.0135840494437978E-2</v>
      </c>
      <c r="BS81">
        <f t="shared" si="50"/>
        <v>19</v>
      </c>
      <c r="BT81" s="19">
        <f t="shared" si="72"/>
        <v>10.35</v>
      </c>
      <c r="BU81" s="19">
        <f t="shared" si="80"/>
        <v>0.71280991735537191</v>
      </c>
    </row>
    <row r="82" spans="1:83" x14ac:dyDescent="0.25">
      <c r="A82" s="276"/>
      <c r="B82" s="30">
        <f t="shared" si="73"/>
        <v>20</v>
      </c>
      <c r="C82" s="68">
        <f t="shared" si="74"/>
        <v>0.70316804407713507</v>
      </c>
      <c r="E82" s="31">
        <f t="shared" si="82"/>
        <v>7.6325301204819276</v>
      </c>
      <c r="F82" s="31">
        <f t="shared" si="83"/>
        <v>-0.11586892253458925</v>
      </c>
      <c r="H82" s="31">
        <f t="shared" si="84"/>
        <v>-0.88437304127303962</v>
      </c>
      <c r="I82" s="31">
        <f t="shared" si="85"/>
        <v>58.255516040063867</v>
      </c>
      <c r="J82" s="31">
        <f t="shared" si="86"/>
        <v>1.3425607209326644E-2</v>
      </c>
      <c r="K82" s="31"/>
      <c r="L82" s="74">
        <f t="shared" si="37"/>
        <v>20</v>
      </c>
      <c r="M82" s="31">
        <f t="shared" si="38"/>
        <v>0.70316804407713507</v>
      </c>
      <c r="N82" s="35">
        <f t="shared" si="39"/>
        <v>0.75448877269587911</v>
      </c>
      <c r="O82" s="35"/>
      <c r="P82" s="35">
        <f t="shared" si="87"/>
        <v>2.6338171859587732E-3</v>
      </c>
      <c r="Q82" s="35">
        <f t="shared" si="88"/>
        <v>5.1320728618744038E-2</v>
      </c>
      <c r="BS82">
        <f t="shared" si="50"/>
        <v>20</v>
      </c>
      <c r="BT82" s="19">
        <f t="shared" si="72"/>
        <v>10.210000000000001</v>
      </c>
      <c r="BU82" s="19">
        <f t="shared" si="80"/>
        <v>0.70316804407713507</v>
      </c>
    </row>
    <row r="83" spans="1:83" x14ac:dyDescent="0.25">
      <c r="A83" s="276"/>
      <c r="B83" s="30">
        <f t="shared" si="73"/>
        <v>21</v>
      </c>
      <c r="C83" s="68">
        <f t="shared" si="74"/>
        <v>0.69283746556473835</v>
      </c>
      <c r="E83" s="31">
        <f t="shared" si="82"/>
        <v>8.6325301204819276</v>
      </c>
      <c r="F83" s="31">
        <f t="shared" si="83"/>
        <v>-0.12619950104698596</v>
      </c>
      <c r="H83" s="31">
        <f t="shared" si="84"/>
        <v>-1.0894209939778969</v>
      </c>
      <c r="I83" s="31">
        <f t="shared" si="85"/>
        <v>74.520576281027729</v>
      </c>
      <c r="J83" s="31">
        <f t="shared" si="86"/>
        <v>1.5926314064508212E-2</v>
      </c>
      <c r="K83" s="31"/>
      <c r="L83" s="74">
        <f t="shared" si="37"/>
        <v>21</v>
      </c>
      <c r="M83" s="31">
        <f t="shared" si="38"/>
        <v>0.69283746556473835</v>
      </c>
      <c r="N83" s="35">
        <f t="shared" si="39"/>
        <v>0.74603178754194832</v>
      </c>
      <c r="O83" s="35"/>
      <c r="P83" s="35">
        <f t="shared" si="87"/>
        <v>2.8296358906150835E-3</v>
      </c>
      <c r="Q83" s="35">
        <f t="shared" si="88"/>
        <v>5.3194321977209968E-2</v>
      </c>
      <c r="BS83">
        <f t="shared" si="50"/>
        <v>21</v>
      </c>
      <c r="BT83" s="19">
        <f t="shared" si="72"/>
        <v>10.06</v>
      </c>
      <c r="BU83" s="19">
        <f t="shared" si="80"/>
        <v>0.69283746556473835</v>
      </c>
    </row>
    <row r="84" spans="1:83" x14ac:dyDescent="0.25">
      <c r="A84" s="276"/>
      <c r="B84" s="30">
        <f t="shared" si="73"/>
        <v>22</v>
      </c>
      <c r="C84" s="68">
        <f t="shared" si="74"/>
        <v>0.72865013774104681</v>
      </c>
      <c r="E84" s="31">
        <f t="shared" si="82"/>
        <v>9.6325301204819276</v>
      </c>
      <c r="F84" s="31">
        <f t="shared" si="83"/>
        <v>-9.0386828870677505E-2</v>
      </c>
      <c r="H84" s="31">
        <f t="shared" si="84"/>
        <v>-0.87065385159164654</v>
      </c>
      <c r="I84" s="31">
        <f t="shared" si="85"/>
        <v>92.785636521991577</v>
      </c>
      <c r="J84" s="31">
        <f t="shared" si="86"/>
        <v>8.1697788332971404E-3</v>
      </c>
      <c r="K84" s="31"/>
      <c r="L84" s="74">
        <f t="shared" si="37"/>
        <v>22</v>
      </c>
      <c r="M84" s="31">
        <f t="shared" si="38"/>
        <v>0.72865013774104681</v>
      </c>
      <c r="N84" s="35">
        <f t="shared" si="39"/>
        <v>0.73757480238801754</v>
      </c>
      <c r="O84" s="35"/>
      <c r="P84" s="35">
        <f t="shared" si="87"/>
        <v>7.964963906088911E-5</v>
      </c>
      <c r="Q84" s="35">
        <f t="shared" si="88"/>
        <v>8.9246646469707258E-3</v>
      </c>
      <c r="BS84">
        <f t="shared" si="50"/>
        <v>22</v>
      </c>
      <c r="BT84" s="19">
        <f t="shared" si="72"/>
        <v>10.58</v>
      </c>
      <c r="BU84" s="19">
        <f t="shared" si="80"/>
        <v>0.72865013774104681</v>
      </c>
    </row>
    <row r="85" spans="1:83" x14ac:dyDescent="0.25">
      <c r="A85" s="276"/>
      <c r="B85" s="30">
        <f>AC37</f>
        <v>23</v>
      </c>
      <c r="C85" s="68">
        <f>AF37</f>
        <v>0.64462809917355368</v>
      </c>
      <c r="E85" s="31">
        <f t="shared" si="82"/>
        <v>10.632530120481928</v>
      </c>
      <c r="F85" s="31">
        <f t="shared" si="83"/>
        <v>-0.17440886743817063</v>
      </c>
      <c r="H85" s="31">
        <f t="shared" si="84"/>
        <v>-1.854407536315489</v>
      </c>
      <c r="I85" s="31">
        <f t="shared" si="85"/>
        <v>113.05069676295544</v>
      </c>
      <c r="J85" s="31">
        <f t="shared" si="86"/>
        <v>3.0418453041065378E-2</v>
      </c>
      <c r="K85" s="31"/>
      <c r="L85" s="74">
        <f t="shared" si="37"/>
        <v>23</v>
      </c>
      <c r="M85" s="31">
        <f t="shared" si="38"/>
        <v>0.64462809917355368</v>
      </c>
      <c r="N85" s="35">
        <f t="shared" si="39"/>
        <v>0.72911781723408675</v>
      </c>
      <c r="O85" s="35"/>
      <c r="P85" s="35">
        <f t="shared" si="87"/>
        <v>7.1385124579483681E-3</v>
      </c>
      <c r="Q85" s="35">
        <f t="shared" si="88"/>
        <v>8.448971806053307E-2</v>
      </c>
      <c r="BS85">
        <f t="shared" si="50"/>
        <v>23</v>
      </c>
      <c r="BT85" s="19">
        <f t="shared" si="72"/>
        <v>9.36</v>
      </c>
      <c r="BU85" s="19">
        <f t="shared" si="80"/>
        <v>0.64462809917355368</v>
      </c>
      <c r="CD85" s="34" t="str">
        <f>P9</f>
        <v>Standard Deviation</v>
      </c>
      <c r="CE85" s="34">
        <f>Q9</f>
        <v>7.3844713042289511E-2</v>
      </c>
    </row>
    <row r="86" spans="1:83" x14ac:dyDescent="0.25">
      <c r="A86" s="276"/>
      <c r="B86" s="30">
        <f t="shared" ref="B86" si="89">AC38</f>
        <v>24</v>
      </c>
      <c r="C86" s="68">
        <f t="shared" ref="C86" si="90">AF38</f>
        <v>0.69352617079889811</v>
      </c>
      <c r="E86" s="31">
        <f t="shared" si="82"/>
        <v>11.632530120481928</v>
      </c>
      <c r="F86" s="31">
        <f t="shared" si="83"/>
        <v>-0.1255107958128262</v>
      </c>
      <c r="H86" s="31">
        <f t="shared" si="84"/>
        <v>-1.4600081127383577</v>
      </c>
      <c r="I86" s="31">
        <f t="shared" si="85"/>
        <v>135.31575700391929</v>
      </c>
      <c r="J86" s="31">
        <f t="shared" si="86"/>
        <v>1.575295986556895E-2</v>
      </c>
      <c r="K86" s="31"/>
      <c r="L86" s="74">
        <f t="shared" ref="L86:L149" si="91">B86</f>
        <v>24</v>
      </c>
      <c r="M86" s="31">
        <f t="shared" ref="M86:M149" si="92">C86</f>
        <v>0.69352617079889811</v>
      </c>
      <c r="N86" s="35">
        <f t="shared" ref="N86:N149" si="93">$B$8+$B$7*L86</f>
        <v>0.72066083208015597</v>
      </c>
      <c r="O86" s="35"/>
      <c r="P86" s="35">
        <f t="shared" si="87"/>
        <v>7.3628984284859419E-4</v>
      </c>
      <c r="Q86" s="35">
        <f t="shared" si="88"/>
        <v>2.7134661281257855E-2</v>
      </c>
      <c r="BS86">
        <f t="shared" si="50"/>
        <v>24</v>
      </c>
      <c r="BT86" s="19">
        <f t="shared" si="72"/>
        <v>10.07</v>
      </c>
      <c r="BU86" s="19">
        <f t="shared" si="80"/>
        <v>0.69352617079889811</v>
      </c>
    </row>
    <row r="87" spans="1:83" x14ac:dyDescent="0.25">
      <c r="A87" s="276" t="s">
        <v>17</v>
      </c>
      <c r="B87" s="32">
        <f>AC15</f>
        <v>1</v>
      </c>
      <c r="C87" s="69">
        <f>AG15</f>
        <v>1</v>
      </c>
      <c r="E87" s="31">
        <f t="shared" si="82"/>
        <v>-11.367469879518072</v>
      </c>
      <c r="F87" s="31">
        <f t="shared" si="83"/>
        <v>0.18096303338827568</v>
      </c>
      <c r="H87" s="31">
        <f t="shared" si="84"/>
        <v>-2.0570918313474471</v>
      </c>
      <c r="I87" s="31">
        <f t="shared" si="85"/>
        <v>129.21937146175063</v>
      </c>
      <c r="J87" s="31">
        <f t="shared" si="86"/>
        <v>3.2747619453086178E-2</v>
      </c>
      <c r="K87" s="31"/>
      <c r="L87" s="74">
        <f t="shared" si="91"/>
        <v>1</v>
      </c>
      <c r="M87" s="31">
        <f t="shared" si="92"/>
        <v>1</v>
      </c>
      <c r="N87" s="35">
        <f t="shared" si="93"/>
        <v>0.91517149062056402</v>
      </c>
      <c r="O87" s="35"/>
      <c r="P87" s="35">
        <f t="shared" si="87"/>
        <v>7.1958760035370582E-3</v>
      </c>
      <c r="Q87" s="35">
        <f t="shared" si="88"/>
        <v>-8.4828509379435979E-2</v>
      </c>
      <c r="BS87">
        <f t="shared" si="50"/>
        <v>1</v>
      </c>
      <c r="BT87" s="19">
        <f t="shared" ref="BT87:BT110" si="94">W15</f>
        <v>14.44</v>
      </c>
      <c r="BU87" s="19">
        <f>AG15</f>
        <v>1</v>
      </c>
    </row>
    <row r="88" spans="1:83" x14ac:dyDescent="0.25">
      <c r="A88" s="276"/>
      <c r="B88" s="32">
        <f t="shared" ref="B88:B110" si="95">AC16</f>
        <v>2</v>
      </c>
      <c r="C88" s="69">
        <f t="shared" ref="C88:C110" si="96">AG16</f>
        <v>0.83656509695290859</v>
      </c>
      <c r="E88" s="31">
        <f t="shared" si="82"/>
        <v>-10.367469879518072</v>
      </c>
      <c r="F88" s="31">
        <f t="shared" si="83"/>
        <v>1.7528130341184278E-2</v>
      </c>
      <c r="H88" s="31">
        <f t="shared" si="84"/>
        <v>-0.18172236335649483</v>
      </c>
      <c r="I88" s="31">
        <f t="shared" si="85"/>
        <v>107.48443170271447</v>
      </c>
      <c r="J88" s="31">
        <f t="shared" si="86"/>
        <v>3.072353532575449E-4</v>
      </c>
      <c r="K88" s="31"/>
      <c r="L88" s="74">
        <f t="shared" si="91"/>
        <v>2</v>
      </c>
      <c r="M88" s="31">
        <f t="shared" si="92"/>
        <v>0.83656509695290859</v>
      </c>
      <c r="N88" s="35">
        <f t="shared" si="93"/>
        <v>0.90671450546663324</v>
      </c>
      <c r="O88" s="35"/>
      <c r="P88" s="35">
        <f t="shared" si="87"/>
        <v>4.9209395148254237E-3</v>
      </c>
      <c r="Q88" s="35">
        <f t="shared" si="88"/>
        <v>7.0149408513724643E-2</v>
      </c>
      <c r="BS88">
        <f t="shared" si="50"/>
        <v>2</v>
      </c>
      <c r="BT88" s="19">
        <f t="shared" si="94"/>
        <v>12.08</v>
      </c>
      <c r="BU88" s="19">
        <f t="shared" ref="BU88:BU110" si="97">AG16</f>
        <v>0.83656509695290859</v>
      </c>
      <c r="CD88" t="s">
        <v>353</v>
      </c>
      <c r="CE88" t="s">
        <v>568</v>
      </c>
    </row>
    <row r="89" spans="1:83" x14ac:dyDescent="0.25">
      <c r="A89" s="276"/>
      <c r="B89" s="32">
        <f t="shared" si="95"/>
        <v>3</v>
      </c>
      <c r="C89" s="69">
        <f t="shared" si="96"/>
        <v>0.85249307479224379</v>
      </c>
      <c r="E89" s="31">
        <f t="shared" si="82"/>
        <v>-9.3674698795180724</v>
      </c>
      <c r="F89" s="31">
        <f t="shared" si="83"/>
        <v>3.3456108180519473E-2</v>
      </c>
      <c r="H89" s="31">
        <f t="shared" si="84"/>
        <v>-0.31339908566691432</v>
      </c>
      <c r="I89" s="31">
        <f t="shared" si="85"/>
        <v>87.749491943678336</v>
      </c>
      <c r="J89" s="31">
        <f t="shared" si="86"/>
        <v>1.1193111745866221E-3</v>
      </c>
      <c r="K89" s="31"/>
      <c r="L89" s="74">
        <f t="shared" si="91"/>
        <v>3</v>
      </c>
      <c r="M89" s="31">
        <f t="shared" si="92"/>
        <v>0.85249307479224379</v>
      </c>
      <c r="N89" s="35">
        <f t="shared" si="93"/>
        <v>0.89825752031270245</v>
      </c>
      <c r="O89" s="35"/>
      <c r="P89" s="35">
        <f t="shared" si="87"/>
        <v>2.0943844737950292E-3</v>
      </c>
      <c r="Q89" s="35">
        <f t="shared" si="88"/>
        <v>4.5764445520458663E-2</v>
      </c>
      <c r="BS89">
        <f t="shared" si="50"/>
        <v>3</v>
      </c>
      <c r="BT89" s="19">
        <f t="shared" si="94"/>
        <v>12.31</v>
      </c>
      <c r="BU89" s="19">
        <f t="shared" si="97"/>
        <v>0.85249307479224379</v>
      </c>
      <c r="CC89">
        <v>1</v>
      </c>
      <c r="CD89">
        <v>-0.2</v>
      </c>
      <c r="CE89">
        <f>_xlfn.NORM.S.DIST(CD89/$CE$85,FALSE)*_xlfn.SUM($CH$50:$CH$71)*(0.02/$CE$85)</f>
        <v>0.45801161847952526</v>
      </c>
    </row>
    <row r="90" spans="1:83" x14ac:dyDescent="0.25">
      <c r="A90" s="276"/>
      <c r="B90" s="32">
        <f t="shared" si="95"/>
        <v>4</v>
      </c>
      <c r="C90" s="69">
        <f t="shared" si="96"/>
        <v>0.85041551246537395</v>
      </c>
      <c r="E90" s="31">
        <f t="shared" si="82"/>
        <v>-8.3674698795180724</v>
      </c>
      <c r="F90" s="31">
        <f t="shared" si="83"/>
        <v>3.1378545853649631E-2</v>
      </c>
      <c r="H90" s="31">
        <f t="shared" si="84"/>
        <v>-0.26255903729349001</v>
      </c>
      <c r="I90" s="31">
        <f t="shared" si="85"/>
        <v>70.014552184642184</v>
      </c>
      <c r="J90" s="31">
        <f t="shared" si="86"/>
        <v>9.8461313988959238E-4</v>
      </c>
      <c r="K90" s="31"/>
      <c r="L90" s="74">
        <f t="shared" si="91"/>
        <v>4</v>
      </c>
      <c r="M90" s="31">
        <f t="shared" si="92"/>
        <v>0.85041551246537395</v>
      </c>
      <c r="N90" s="35">
        <f t="shared" si="93"/>
        <v>0.88980053515877167</v>
      </c>
      <c r="O90" s="35"/>
      <c r="P90" s="35">
        <f t="shared" si="87"/>
        <v>1.5511800125594534E-3</v>
      </c>
      <c r="Q90" s="35">
        <f t="shared" si="88"/>
        <v>3.938502269339772E-2</v>
      </c>
      <c r="BS90">
        <f t="shared" si="50"/>
        <v>4</v>
      </c>
      <c r="BT90" s="19">
        <f t="shared" si="94"/>
        <v>12.28</v>
      </c>
      <c r="BU90" s="19">
        <f t="shared" si="97"/>
        <v>0.85041551246537395</v>
      </c>
      <c r="CC90">
        <v>2</v>
      </c>
      <c r="CD90">
        <f>CD89+0.02</f>
        <v>-0.18000000000000002</v>
      </c>
      <c r="CE90">
        <f t="shared" ref="CE90:CE109" si="98">_xlfn.NORM.S.DIST(CD90/$CE$85,FALSE)*_xlfn.SUM($CH$50:$CH$71)*(0.02/$CE$85)</f>
        <v>0.91942947450644308</v>
      </c>
    </row>
    <row r="91" spans="1:83" x14ac:dyDescent="0.25">
      <c r="A91" s="276"/>
      <c r="B91" s="32">
        <f t="shared" si="95"/>
        <v>5</v>
      </c>
      <c r="C91" s="69">
        <f t="shared" si="96"/>
        <v>0.86703601108033246</v>
      </c>
      <c r="E91" s="31">
        <f t="shared" si="82"/>
        <v>-7.3674698795180724</v>
      </c>
      <c r="F91" s="31">
        <f t="shared" si="83"/>
        <v>4.7999044468608143E-2</v>
      </c>
      <c r="H91" s="31">
        <f t="shared" si="84"/>
        <v>-0.35363151436811902</v>
      </c>
      <c r="I91" s="31">
        <f t="shared" si="85"/>
        <v>54.279612425606039</v>
      </c>
      <c r="J91" s="31">
        <f t="shared" si="86"/>
        <v>2.3039082698994222E-3</v>
      </c>
      <c r="K91" s="31"/>
      <c r="L91" s="74">
        <f t="shared" si="91"/>
        <v>5</v>
      </c>
      <c r="M91" s="31">
        <f t="shared" si="92"/>
        <v>0.86703601108033246</v>
      </c>
      <c r="N91" s="35">
        <f t="shared" si="93"/>
        <v>0.88134355000484088</v>
      </c>
      <c r="O91" s="35"/>
      <c r="P91" s="35">
        <f t="shared" si="87"/>
        <v>2.0470567007632362E-4</v>
      </c>
      <c r="Q91" s="35">
        <f t="shared" si="88"/>
        <v>1.4307538924508423E-2</v>
      </c>
      <c r="BS91">
        <f t="shared" si="50"/>
        <v>5</v>
      </c>
      <c r="BT91" s="19">
        <f t="shared" si="94"/>
        <v>12.52</v>
      </c>
      <c r="BU91" s="19">
        <f t="shared" si="97"/>
        <v>0.86703601108033246</v>
      </c>
      <c r="CC91">
        <v>3</v>
      </c>
      <c r="CD91">
        <f t="shared" ref="CD91:CD108" si="99">CD90+0.02</f>
        <v>-0.16000000000000003</v>
      </c>
      <c r="CE91">
        <f t="shared" si="98"/>
        <v>1.7151547248327708</v>
      </c>
    </row>
    <row r="92" spans="1:83" x14ac:dyDescent="0.25">
      <c r="A92" s="276"/>
      <c r="B92" s="32">
        <f t="shared" si="95"/>
        <v>6</v>
      </c>
      <c r="C92" s="69">
        <f t="shared" si="96"/>
        <v>0.73545706371191133</v>
      </c>
      <c r="E92" s="31">
        <f t="shared" si="82"/>
        <v>-6.3674698795180724</v>
      </c>
      <c r="F92" s="31">
        <f t="shared" si="83"/>
        <v>-8.3579902899812986E-2</v>
      </c>
      <c r="H92" s="31">
        <f t="shared" si="84"/>
        <v>0.53219251424760439</v>
      </c>
      <c r="I92" s="31">
        <f t="shared" si="85"/>
        <v>40.544672666569895</v>
      </c>
      <c r="J92" s="31">
        <f t="shared" si="86"/>
        <v>6.9856001687421667E-3</v>
      </c>
      <c r="K92" s="31"/>
      <c r="L92" s="74">
        <f t="shared" si="91"/>
        <v>6</v>
      </c>
      <c r="M92" s="31">
        <f t="shared" si="92"/>
        <v>0.73545706371191133</v>
      </c>
      <c r="N92" s="35">
        <f t="shared" si="93"/>
        <v>0.8728865648509101</v>
      </c>
      <c r="O92" s="35"/>
      <c r="P92" s="35">
        <f t="shared" si="87"/>
        <v>1.8886867783314065E-2</v>
      </c>
      <c r="Q92" s="35">
        <f t="shared" si="88"/>
        <v>0.13742950113899877</v>
      </c>
      <c r="BS92">
        <f t="shared" si="50"/>
        <v>6</v>
      </c>
      <c r="BT92" s="19">
        <f t="shared" si="94"/>
        <v>10.62</v>
      </c>
      <c r="BU92" s="19">
        <f t="shared" si="97"/>
        <v>0.73545706371191133</v>
      </c>
      <c r="CC92">
        <v>4</v>
      </c>
      <c r="CD92">
        <f t="shared" si="99"/>
        <v>-0.14000000000000004</v>
      </c>
      <c r="CE92">
        <f t="shared" si="98"/>
        <v>2.9732480391464899</v>
      </c>
    </row>
    <row r="93" spans="1:83" x14ac:dyDescent="0.25">
      <c r="A93" s="276"/>
      <c r="B93" s="32">
        <f t="shared" si="95"/>
        <v>7</v>
      </c>
      <c r="C93" s="69">
        <f t="shared" si="96"/>
        <v>0.86080332409972304</v>
      </c>
      <c r="E93" s="31">
        <f t="shared" si="82"/>
        <v>-5.3674698795180724</v>
      </c>
      <c r="F93" s="31">
        <f t="shared" si="83"/>
        <v>4.1766357487998729E-2</v>
      </c>
      <c r="H93" s="31">
        <f t="shared" si="84"/>
        <v>-0.22417966579401727</v>
      </c>
      <c r="I93" s="31">
        <f t="shared" si="85"/>
        <v>28.80973290753375</v>
      </c>
      <c r="J93" s="31">
        <f t="shared" si="86"/>
        <v>1.7444286178153075E-3</v>
      </c>
      <c r="K93" s="31"/>
      <c r="L93" s="74">
        <f t="shared" si="91"/>
        <v>7</v>
      </c>
      <c r="M93" s="31">
        <f t="shared" si="92"/>
        <v>0.86080332409972304</v>
      </c>
      <c r="N93" s="35">
        <f t="shared" si="93"/>
        <v>0.86442957969697931</v>
      </c>
      <c r="O93" s="35"/>
      <c r="P93" s="35">
        <f t="shared" si="87"/>
        <v>1.3149729656632407E-5</v>
      </c>
      <c r="Q93" s="35">
        <f t="shared" si="88"/>
        <v>3.6262555972562671E-3</v>
      </c>
      <c r="BS93">
        <f t="shared" si="50"/>
        <v>7</v>
      </c>
      <c r="BT93" s="19">
        <f t="shared" si="94"/>
        <v>12.43</v>
      </c>
      <c r="BU93" s="19">
        <f t="shared" si="97"/>
        <v>0.86080332409972304</v>
      </c>
      <c r="CC93">
        <v>5</v>
      </c>
      <c r="CD93">
        <f t="shared" si="99"/>
        <v>-0.12000000000000004</v>
      </c>
      <c r="CE93">
        <f t="shared" si="98"/>
        <v>4.7896296463372652</v>
      </c>
    </row>
    <row r="94" spans="1:83" x14ac:dyDescent="0.25">
      <c r="A94" s="276"/>
      <c r="B94" s="32">
        <f t="shared" si="95"/>
        <v>8</v>
      </c>
      <c r="C94" s="69">
        <f t="shared" si="96"/>
        <v>0.82340720221606656</v>
      </c>
      <c r="E94" s="31">
        <f t="shared" si="82"/>
        <v>-4.3674698795180724</v>
      </c>
      <c r="F94" s="31">
        <f t="shared" si="83"/>
        <v>4.370235604342243E-3</v>
      </c>
      <c r="H94" s="31">
        <f t="shared" si="84"/>
        <v>-1.9086872368362207E-2</v>
      </c>
      <c r="I94" s="31">
        <f t="shared" si="85"/>
        <v>19.074793148497605</v>
      </c>
      <c r="J94" s="31">
        <f t="shared" si="86"/>
        <v>1.909895923746061E-5</v>
      </c>
      <c r="K94" s="31"/>
      <c r="L94" s="74">
        <f t="shared" si="91"/>
        <v>8</v>
      </c>
      <c r="M94" s="31">
        <f t="shared" si="92"/>
        <v>0.82340720221606656</v>
      </c>
      <c r="N94" s="35">
        <f t="shared" si="93"/>
        <v>0.85597259454304853</v>
      </c>
      <c r="O94" s="35"/>
      <c r="P94" s="35">
        <f t="shared" si="87"/>
        <v>1.0605047774102561E-3</v>
      </c>
      <c r="Q94" s="35">
        <f t="shared" si="88"/>
        <v>3.2565392326981968E-2</v>
      </c>
      <c r="BS94">
        <f t="shared" si="50"/>
        <v>8</v>
      </c>
      <c r="BT94" s="19">
        <f t="shared" si="94"/>
        <v>11.89</v>
      </c>
      <c r="BU94" s="19">
        <f t="shared" si="97"/>
        <v>0.82340720221606656</v>
      </c>
      <c r="CC94">
        <v>6</v>
      </c>
      <c r="CD94">
        <f t="shared" si="99"/>
        <v>-0.10000000000000003</v>
      </c>
      <c r="CE94">
        <f t="shared" si="98"/>
        <v>7.1699426269076039</v>
      </c>
    </row>
    <row r="95" spans="1:83" x14ac:dyDescent="0.25">
      <c r="A95" s="276"/>
      <c r="B95" s="32">
        <f t="shared" si="95"/>
        <v>9</v>
      </c>
      <c r="C95" s="69">
        <f t="shared" si="96"/>
        <v>0.8317174515235457</v>
      </c>
      <c r="E95" s="31">
        <f t="shared" si="82"/>
        <v>-3.3674698795180724</v>
      </c>
      <c r="F95" s="31">
        <f t="shared" si="83"/>
        <v>1.2680484911821388E-2</v>
      </c>
      <c r="H95" s="31">
        <f t="shared" si="84"/>
        <v>-4.2701150998241906E-2</v>
      </c>
      <c r="I95" s="31">
        <f t="shared" si="85"/>
        <v>11.339853389461462</v>
      </c>
      <c r="J95" s="31">
        <f t="shared" si="86"/>
        <v>1.6079469759892987E-4</v>
      </c>
      <c r="K95" s="31"/>
      <c r="L95" s="74">
        <f t="shared" si="91"/>
        <v>9</v>
      </c>
      <c r="M95" s="31">
        <f t="shared" si="92"/>
        <v>0.8317174515235457</v>
      </c>
      <c r="N95" s="35">
        <f t="shared" si="93"/>
        <v>0.84751560938911774</v>
      </c>
      <c r="O95" s="35"/>
      <c r="P95" s="35">
        <f t="shared" si="87"/>
        <v>2.4958179194553565E-4</v>
      </c>
      <c r="Q95" s="35">
        <f t="shared" si="88"/>
        <v>1.5798157865572038E-2</v>
      </c>
      <c r="BS95">
        <f t="shared" si="50"/>
        <v>9</v>
      </c>
      <c r="BT95" s="19">
        <f t="shared" si="94"/>
        <v>12.01</v>
      </c>
      <c r="BU95" s="19">
        <f t="shared" si="97"/>
        <v>0.8317174515235457</v>
      </c>
      <c r="CC95">
        <v>7</v>
      </c>
      <c r="CD95">
        <f t="shared" si="99"/>
        <v>-8.0000000000000029E-2</v>
      </c>
      <c r="CE95">
        <f t="shared" si="98"/>
        <v>9.9740693319054117</v>
      </c>
    </row>
    <row r="96" spans="1:83" x14ac:dyDescent="0.25">
      <c r="A96" s="276"/>
      <c r="B96" s="32">
        <f t="shared" si="95"/>
        <v>10</v>
      </c>
      <c r="C96" s="69">
        <f t="shared" si="96"/>
        <v>0.75761772853185594</v>
      </c>
      <c r="E96" s="31">
        <f t="shared" si="82"/>
        <v>-2.3674698795180724</v>
      </c>
      <c r="F96" s="31">
        <f t="shared" si="83"/>
        <v>-6.1419238079868377E-2</v>
      </c>
      <c r="H96" s="31">
        <f t="shared" si="84"/>
        <v>0.14540819617703779</v>
      </c>
      <c r="I96" s="31">
        <f t="shared" si="85"/>
        <v>5.6049136304253162</v>
      </c>
      <c r="J96" s="31">
        <f t="shared" si="86"/>
        <v>3.7723228063115538E-3</v>
      </c>
      <c r="K96" s="31"/>
      <c r="L96" s="74">
        <f t="shared" si="91"/>
        <v>10</v>
      </c>
      <c r="M96" s="31">
        <f t="shared" si="92"/>
        <v>0.75761772853185594</v>
      </c>
      <c r="N96" s="35">
        <f t="shared" si="93"/>
        <v>0.83905862423518696</v>
      </c>
      <c r="O96" s="35"/>
      <c r="P96" s="35">
        <f t="shared" si="87"/>
        <v>6.6326194929608407E-3</v>
      </c>
      <c r="Q96" s="35">
        <f t="shared" si="88"/>
        <v>8.1440895703331018E-2</v>
      </c>
      <c r="BS96">
        <f t="shared" si="50"/>
        <v>10</v>
      </c>
      <c r="BT96" s="19">
        <f t="shared" si="94"/>
        <v>10.94</v>
      </c>
      <c r="BU96" s="19">
        <f t="shared" si="97"/>
        <v>0.75761772853185594</v>
      </c>
      <c r="CC96">
        <v>8</v>
      </c>
      <c r="CD96">
        <f t="shared" si="99"/>
        <v>-6.0000000000000026E-2</v>
      </c>
      <c r="CE96">
        <f t="shared" si="98"/>
        <v>12.893536085874931</v>
      </c>
    </row>
    <row r="97" spans="1:83" x14ac:dyDescent="0.25">
      <c r="A97" s="276"/>
      <c r="B97" s="32">
        <f t="shared" si="95"/>
        <v>11</v>
      </c>
      <c r="C97" s="69">
        <f t="shared" si="96"/>
        <v>0.83379501385041543</v>
      </c>
      <c r="E97" s="31">
        <f t="shared" si="82"/>
        <v>-1.3674698795180724</v>
      </c>
      <c r="F97" s="31">
        <f t="shared" si="83"/>
        <v>1.4758047238691119E-2</v>
      </c>
      <c r="H97" s="31">
        <f t="shared" si="84"/>
        <v>-2.0181185079414965E-2</v>
      </c>
      <c r="I97" s="31">
        <f t="shared" si="85"/>
        <v>1.8699738713891716</v>
      </c>
      <c r="J97" s="31">
        <f t="shared" si="86"/>
        <v>2.1779995829943855E-4</v>
      </c>
      <c r="K97" s="31"/>
      <c r="L97" s="74">
        <f t="shared" si="91"/>
        <v>11</v>
      </c>
      <c r="M97" s="31">
        <f t="shared" si="92"/>
        <v>0.83379501385041543</v>
      </c>
      <c r="N97" s="35">
        <f t="shared" si="93"/>
        <v>0.83060163908125617</v>
      </c>
      <c r="O97" s="35"/>
      <c r="P97" s="35">
        <f t="shared" si="87"/>
        <v>1.0197642416302975E-5</v>
      </c>
      <c r="Q97" s="35">
        <f t="shared" si="88"/>
        <v>-3.1933747691592629E-3</v>
      </c>
      <c r="BS97">
        <f t="shared" si="50"/>
        <v>11</v>
      </c>
      <c r="BT97" s="19">
        <f t="shared" si="94"/>
        <v>12.04</v>
      </c>
      <c r="BU97" s="19">
        <f t="shared" si="97"/>
        <v>0.83379501385041543</v>
      </c>
      <c r="CC97">
        <v>9</v>
      </c>
      <c r="CD97">
        <f t="shared" si="99"/>
        <v>-4.0000000000000022E-2</v>
      </c>
      <c r="CE97">
        <f t="shared" si="98"/>
        <v>15.488688745653636</v>
      </c>
    </row>
    <row r="98" spans="1:83" x14ac:dyDescent="0.25">
      <c r="A98" s="276"/>
      <c r="B98" s="32">
        <f t="shared" si="95"/>
        <v>12</v>
      </c>
      <c r="C98" s="69">
        <f t="shared" si="96"/>
        <v>0.76246537396121883</v>
      </c>
      <c r="E98" s="31">
        <f t="shared" si="82"/>
        <v>-0.36746987951807242</v>
      </c>
      <c r="F98" s="31">
        <f t="shared" si="83"/>
        <v>-5.6571592650505487E-2</v>
      </c>
      <c r="H98" s="31">
        <f t="shared" si="84"/>
        <v>2.0788356335426722E-2</v>
      </c>
      <c r="I98" s="31">
        <f t="shared" si="85"/>
        <v>0.13503411235302665</v>
      </c>
      <c r="J98" s="31">
        <f t="shared" si="86"/>
        <v>3.2003450950147264E-3</v>
      </c>
      <c r="K98" s="31"/>
      <c r="L98" s="74">
        <f t="shared" si="91"/>
        <v>12</v>
      </c>
      <c r="M98" s="31">
        <f t="shared" si="92"/>
        <v>0.76246537396121883</v>
      </c>
      <c r="N98" s="35">
        <f t="shared" si="93"/>
        <v>0.82214465392732539</v>
      </c>
      <c r="O98" s="35"/>
      <c r="P98" s="35">
        <f t="shared" si="87"/>
        <v>3.5616164572729275E-3</v>
      </c>
      <c r="Q98" s="35">
        <f t="shared" si="88"/>
        <v>5.9679279966106558E-2</v>
      </c>
      <c r="BS98">
        <f t="shared" si="50"/>
        <v>12</v>
      </c>
      <c r="BT98" s="19">
        <f t="shared" si="94"/>
        <v>11.01</v>
      </c>
      <c r="BU98" s="19">
        <f t="shared" si="97"/>
        <v>0.76246537396121883</v>
      </c>
      <c r="CC98">
        <v>10</v>
      </c>
      <c r="CD98">
        <f t="shared" si="99"/>
        <v>-2.0000000000000021E-2</v>
      </c>
      <c r="CE98">
        <f t="shared" si="98"/>
        <v>17.290208080959193</v>
      </c>
    </row>
    <row r="99" spans="1:83" x14ac:dyDescent="0.25">
      <c r="A99" s="276"/>
      <c r="B99" s="32">
        <f t="shared" si="95"/>
        <v>13</v>
      </c>
      <c r="C99" s="69">
        <f t="shared" si="96"/>
        <v>0.75</v>
      </c>
      <c r="E99" s="31">
        <f t="shared" si="82"/>
        <v>0.63253012048192758</v>
      </c>
      <c r="F99" s="31">
        <f t="shared" si="83"/>
        <v>-6.9036966611724315E-2</v>
      </c>
      <c r="H99" s="31">
        <f t="shared" si="84"/>
        <v>-4.3667960808620794E-2</v>
      </c>
      <c r="I99" s="31">
        <f t="shared" si="85"/>
        <v>0.40009435331688181</v>
      </c>
      <c r="J99" s="31">
        <f t="shared" si="86"/>
        <v>4.7661027589483377E-3</v>
      </c>
      <c r="K99" s="31"/>
      <c r="L99" s="74">
        <f t="shared" si="91"/>
        <v>13</v>
      </c>
      <c r="M99" s="31">
        <f t="shared" si="92"/>
        <v>0.75</v>
      </c>
      <c r="N99" s="35">
        <f t="shared" si="93"/>
        <v>0.8136876687733946</v>
      </c>
      <c r="O99" s="35"/>
      <c r="P99" s="35">
        <f t="shared" si="87"/>
        <v>4.0561191537896221E-3</v>
      </c>
      <c r="Q99" s="35">
        <f t="shared" si="88"/>
        <v>6.3687668773394601E-2</v>
      </c>
      <c r="BS99">
        <f t="shared" si="50"/>
        <v>13</v>
      </c>
      <c r="BT99" s="19">
        <f t="shared" si="94"/>
        <v>10.83</v>
      </c>
      <c r="BU99" s="19">
        <f t="shared" si="97"/>
        <v>0.75</v>
      </c>
      <c r="CC99">
        <v>11</v>
      </c>
      <c r="CD99">
        <f t="shared" si="99"/>
        <v>0</v>
      </c>
      <c r="CE99">
        <f t="shared" si="98"/>
        <v>17.93612997282888</v>
      </c>
    </row>
    <row r="100" spans="1:83" x14ac:dyDescent="0.25">
      <c r="A100" s="276"/>
      <c r="B100" s="32">
        <f t="shared" si="95"/>
        <v>14</v>
      </c>
      <c r="C100" s="69">
        <f t="shared" si="96"/>
        <v>0.68074792243767313</v>
      </c>
      <c r="E100" s="31">
        <f t="shared" si="82"/>
        <v>1.6325301204819276</v>
      </c>
      <c r="F100" s="31">
        <f t="shared" si="83"/>
        <v>-0.13828904417405119</v>
      </c>
      <c r="H100" s="31">
        <f t="shared" si="84"/>
        <v>-0.22576102994679439</v>
      </c>
      <c r="I100" s="31">
        <f t="shared" si="85"/>
        <v>2.6651545942807369</v>
      </c>
      <c r="J100" s="31">
        <f t="shared" si="86"/>
        <v>1.9123859738572682E-2</v>
      </c>
      <c r="K100" s="31"/>
      <c r="L100" s="74">
        <f t="shared" si="91"/>
        <v>14</v>
      </c>
      <c r="M100" s="31">
        <f t="shared" si="92"/>
        <v>0.68074792243767313</v>
      </c>
      <c r="N100" s="35">
        <f t="shared" si="93"/>
        <v>0.80523068361946382</v>
      </c>
      <c r="O100" s="35"/>
      <c r="P100" s="35">
        <f t="shared" si="87"/>
        <v>1.5495957831442735E-2</v>
      </c>
      <c r="Q100" s="35">
        <f t="shared" si="88"/>
        <v>0.12448276118179069</v>
      </c>
      <c r="BS100">
        <f t="shared" si="50"/>
        <v>14</v>
      </c>
      <c r="BT100" s="19">
        <f t="shared" si="94"/>
        <v>9.83</v>
      </c>
      <c r="BU100" s="19">
        <f t="shared" si="97"/>
        <v>0.68074792243767313</v>
      </c>
      <c r="CC100">
        <v>12</v>
      </c>
      <c r="CD100">
        <f t="shared" si="99"/>
        <v>0.02</v>
      </c>
      <c r="CE100">
        <f t="shared" si="98"/>
        <v>17.290208080959196</v>
      </c>
    </row>
    <row r="101" spans="1:83" x14ac:dyDescent="0.25">
      <c r="A101" s="276"/>
      <c r="B101" s="32">
        <f t="shared" si="95"/>
        <v>15</v>
      </c>
      <c r="C101" s="69">
        <f t="shared" si="96"/>
        <v>0.69598337950138511</v>
      </c>
      <c r="E101" s="31">
        <f t="shared" si="82"/>
        <v>2.6325301204819276</v>
      </c>
      <c r="F101" s="31">
        <f t="shared" si="83"/>
        <v>-0.1230535871103392</v>
      </c>
      <c r="H101" s="31">
        <f t="shared" si="84"/>
        <v>-0.32394227450131463</v>
      </c>
      <c r="I101" s="31">
        <f t="shared" si="85"/>
        <v>6.930214835244592</v>
      </c>
      <c r="J101" s="31">
        <f t="shared" si="86"/>
        <v>1.5142185300721839E-2</v>
      </c>
      <c r="K101" s="31"/>
      <c r="L101" s="74">
        <f t="shared" si="91"/>
        <v>15</v>
      </c>
      <c r="M101" s="31">
        <f t="shared" si="92"/>
        <v>0.69598337950138511</v>
      </c>
      <c r="N101" s="35">
        <f t="shared" si="93"/>
        <v>0.79677369846553303</v>
      </c>
      <c r="O101" s="35"/>
      <c r="P101" s="35">
        <f t="shared" si="87"/>
        <v>1.0158688396894676E-2</v>
      </c>
      <c r="Q101" s="35">
        <f t="shared" si="88"/>
        <v>0.10079031896414792</v>
      </c>
      <c r="BS101">
        <f t="shared" si="50"/>
        <v>15</v>
      </c>
      <c r="BT101" s="19">
        <f t="shared" si="94"/>
        <v>10.050000000000001</v>
      </c>
      <c r="BU101" s="19">
        <f t="shared" si="97"/>
        <v>0.69598337950138511</v>
      </c>
      <c r="CC101">
        <v>13</v>
      </c>
      <c r="CD101">
        <f t="shared" si="99"/>
        <v>0.04</v>
      </c>
      <c r="CE101">
        <f t="shared" si="98"/>
        <v>15.488688745653638</v>
      </c>
    </row>
    <row r="102" spans="1:83" x14ac:dyDescent="0.25">
      <c r="A102" s="276"/>
      <c r="B102" s="32">
        <f t="shared" si="95"/>
        <v>16</v>
      </c>
      <c r="C102" s="69">
        <f t="shared" si="96"/>
        <v>0.73545706371191133</v>
      </c>
      <c r="E102" s="31">
        <f t="shared" si="82"/>
        <v>3.6325301204819276</v>
      </c>
      <c r="F102" s="31">
        <f t="shared" si="83"/>
        <v>-8.3579902899812986E-2</v>
      </c>
      <c r="H102" s="31">
        <f t="shared" si="84"/>
        <v>-0.30360651475052547</v>
      </c>
      <c r="I102" s="31">
        <f t="shared" si="85"/>
        <v>13.195275076208448</v>
      </c>
      <c r="J102" s="31">
        <f t="shared" si="86"/>
        <v>6.9856001687421667E-3</v>
      </c>
      <c r="K102" s="31"/>
      <c r="L102" s="74">
        <f t="shared" si="91"/>
        <v>16</v>
      </c>
      <c r="M102" s="31">
        <f t="shared" si="92"/>
        <v>0.73545706371191133</v>
      </c>
      <c r="N102" s="35">
        <f t="shared" si="93"/>
        <v>0.78831671331160225</v>
      </c>
      <c r="O102" s="35"/>
      <c r="P102" s="35">
        <f t="shared" si="87"/>
        <v>2.7941425558021039E-3</v>
      </c>
      <c r="Q102" s="35">
        <f t="shared" si="88"/>
        <v>5.2859649599690917E-2</v>
      </c>
      <c r="BS102">
        <f t="shared" si="50"/>
        <v>16</v>
      </c>
      <c r="BT102" s="19">
        <f t="shared" si="94"/>
        <v>10.62</v>
      </c>
      <c r="BU102" s="19">
        <f t="shared" si="97"/>
        <v>0.73545706371191133</v>
      </c>
      <c r="CC102">
        <v>14</v>
      </c>
      <c r="CD102">
        <f t="shared" si="99"/>
        <v>0.06</v>
      </c>
      <c r="CE102">
        <f t="shared" si="98"/>
        <v>12.893536085874933</v>
      </c>
    </row>
    <row r="103" spans="1:83" x14ac:dyDescent="0.25">
      <c r="A103" s="276"/>
      <c r="B103" s="32">
        <f t="shared" si="95"/>
        <v>17</v>
      </c>
      <c r="C103" s="69">
        <f t="shared" si="96"/>
        <v>0.72922437673130192</v>
      </c>
      <c r="E103" s="31">
        <f t="shared" si="82"/>
        <v>4.6325301204819276</v>
      </c>
      <c r="F103" s="31">
        <f t="shared" si="83"/>
        <v>-8.98125898804224E-2</v>
      </c>
      <c r="H103" s="31">
        <f t="shared" si="84"/>
        <v>-0.41605952781954714</v>
      </c>
      <c r="I103" s="31">
        <f t="shared" si="85"/>
        <v>21.460335317172301</v>
      </c>
      <c r="J103" s="31">
        <f t="shared" si="86"/>
        <v>8.0663013010289514E-3</v>
      </c>
      <c r="K103" s="31"/>
      <c r="L103" s="74">
        <f t="shared" si="91"/>
        <v>17</v>
      </c>
      <c r="M103" s="31">
        <f t="shared" si="92"/>
        <v>0.72922437673130192</v>
      </c>
      <c r="N103" s="35">
        <f t="shared" si="93"/>
        <v>0.77985972815767146</v>
      </c>
      <c r="O103" s="35"/>
      <c r="P103" s="35">
        <f t="shared" si="87"/>
        <v>2.5639388140719444E-3</v>
      </c>
      <c r="Q103" s="35">
        <f t="shared" si="88"/>
        <v>5.0635351426369546E-2</v>
      </c>
      <c r="BS103">
        <f t="shared" si="50"/>
        <v>17</v>
      </c>
      <c r="BT103" s="19">
        <f t="shared" si="94"/>
        <v>10.53</v>
      </c>
      <c r="BU103" s="19">
        <f t="shared" si="97"/>
        <v>0.72922437673130192</v>
      </c>
      <c r="CC103">
        <v>15</v>
      </c>
      <c r="CD103">
        <f t="shared" si="99"/>
        <v>0.08</v>
      </c>
      <c r="CE103">
        <f t="shared" si="98"/>
        <v>9.974069331905417</v>
      </c>
    </row>
    <row r="104" spans="1:83" x14ac:dyDescent="0.25">
      <c r="A104" s="276"/>
      <c r="B104" s="32">
        <f t="shared" si="95"/>
        <v>18</v>
      </c>
      <c r="C104" s="69">
        <f t="shared" si="96"/>
        <v>0.62950138504155129</v>
      </c>
      <c r="E104" s="31">
        <f t="shared" si="82"/>
        <v>5.6325301204819276</v>
      </c>
      <c r="F104" s="31">
        <f t="shared" si="83"/>
        <v>-0.18953558157017303</v>
      </c>
      <c r="H104" s="31">
        <f t="shared" si="84"/>
        <v>-1.067564872097059</v>
      </c>
      <c r="I104" s="31">
        <f t="shared" si="85"/>
        <v>31.725395558136157</v>
      </c>
      <c r="J104" s="31">
        <f t="shared" si="86"/>
        <v>3.5923736681143716E-2</v>
      </c>
      <c r="K104" s="31"/>
      <c r="L104" s="74">
        <f t="shared" si="91"/>
        <v>18</v>
      </c>
      <c r="M104" s="31">
        <f t="shared" si="92"/>
        <v>0.62950138504155129</v>
      </c>
      <c r="N104" s="35">
        <f t="shared" si="93"/>
        <v>0.77140274300374068</v>
      </c>
      <c r="O104" s="35"/>
      <c r="P104" s="35">
        <f t="shared" si="87"/>
        <v>2.0135995391513409E-2</v>
      </c>
      <c r="Q104" s="35">
        <f t="shared" si="88"/>
        <v>0.14190135796218939</v>
      </c>
      <c r="BS104">
        <f t="shared" ref="BS104:BS167" si="100">BS80</f>
        <v>18</v>
      </c>
      <c r="BT104" s="19">
        <f t="shared" si="94"/>
        <v>9.09</v>
      </c>
      <c r="BU104" s="19">
        <f t="shared" si="97"/>
        <v>0.62950138504155129</v>
      </c>
      <c r="CC104">
        <v>16</v>
      </c>
      <c r="CD104">
        <f t="shared" si="99"/>
        <v>0.1</v>
      </c>
      <c r="CE104">
        <f t="shared" si="98"/>
        <v>7.1699426269076074</v>
      </c>
    </row>
    <row r="105" spans="1:83" x14ac:dyDescent="0.25">
      <c r="A105" s="276"/>
      <c r="B105" s="32">
        <f t="shared" si="95"/>
        <v>19</v>
      </c>
      <c r="C105" s="69">
        <f t="shared" si="96"/>
        <v>0.75346260387811648</v>
      </c>
      <c r="E105" s="31">
        <f t="shared" si="82"/>
        <v>6.6325301204819276</v>
      </c>
      <c r="F105" s="31">
        <f t="shared" si="83"/>
        <v>-6.5574362733607838E-2</v>
      </c>
      <c r="H105" s="31">
        <f t="shared" si="84"/>
        <v>-0.43492393596206164</v>
      </c>
      <c r="I105" s="31">
        <f t="shared" si="85"/>
        <v>43.990455799100012</v>
      </c>
      <c r="J105" s="31">
        <f t="shared" si="86"/>
        <v>4.2999970479187764E-3</v>
      </c>
      <c r="K105" s="31"/>
      <c r="L105" s="74">
        <f t="shared" si="91"/>
        <v>19</v>
      </c>
      <c r="M105" s="31">
        <f t="shared" si="92"/>
        <v>0.75346260387811648</v>
      </c>
      <c r="N105" s="35">
        <f t="shared" si="93"/>
        <v>0.76294575784980989</v>
      </c>
      <c r="O105" s="35"/>
      <c r="P105" s="35">
        <f t="shared" si="87"/>
        <v>8.9930209250844585E-5</v>
      </c>
      <c r="Q105" s="35">
        <f t="shared" si="88"/>
        <v>9.4831539716934143E-3</v>
      </c>
      <c r="BS105">
        <f t="shared" si="100"/>
        <v>19</v>
      </c>
      <c r="BT105" s="19">
        <f t="shared" si="94"/>
        <v>10.88</v>
      </c>
      <c r="BU105" s="19">
        <f t="shared" si="97"/>
        <v>0.75346260387811648</v>
      </c>
      <c r="CC105">
        <v>17</v>
      </c>
      <c r="CD105">
        <f t="shared" si="99"/>
        <v>0.12000000000000001</v>
      </c>
      <c r="CE105">
        <f t="shared" si="98"/>
        <v>4.7896296463372661</v>
      </c>
    </row>
    <row r="106" spans="1:83" x14ac:dyDescent="0.25">
      <c r="A106" s="276"/>
      <c r="B106" s="32">
        <f t="shared" si="95"/>
        <v>20</v>
      </c>
      <c r="C106" s="69">
        <f t="shared" si="96"/>
        <v>0.71883656509695304</v>
      </c>
      <c r="E106" s="31">
        <f t="shared" si="82"/>
        <v>7.6325301204819276</v>
      </c>
      <c r="F106" s="31">
        <f t="shared" si="83"/>
        <v>-0.10020040151477128</v>
      </c>
      <c r="H106" s="31">
        <f t="shared" si="84"/>
        <v>-0.76478258264587473</v>
      </c>
      <c r="I106" s="31">
        <f t="shared" si="85"/>
        <v>58.255516040063867</v>
      </c>
      <c r="J106" s="31">
        <f t="shared" si="86"/>
        <v>1.0040120463721379E-2</v>
      </c>
      <c r="K106" s="31"/>
      <c r="L106" s="74">
        <f t="shared" si="91"/>
        <v>20</v>
      </c>
      <c r="M106" s="31">
        <f t="shared" si="92"/>
        <v>0.71883656509695304</v>
      </c>
      <c r="N106" s="35">
        <f t="shared" si="93"/>
        <v>0.75448877269587911</v>
      </c>
      <c r="O106" s="35"/>
      <c r="P106" s="35">
        <f t="shared" si="87"/>
        <v>1.2710799066769215E-3</v>
      </c>
      <c r="Q106" s="35">
        <f t="shared" si="88"/>
        <v>3.5652207598926067E-2</v>
      </c>
      <c r="BS106">
        <f t="shared" si="100"/>
        <v>20</v>
      </c>
      <c r="BT106" s="19">
        <f t="shared" si="94"/>
        <v>10.38</v>
      </c>
      <c r="BU106" s="19">
        <f t="shared" si="97"/>
        <v>0.71883656509695304</v>
      </c>
      <c r="CC106">
        <v>18</v>
      </c>
      <c r="CD106">
        <f t="shared" si="99"/>
        <v>0.14000000000000001</v>
      </c>
      <c r="CE106">
        <f t="shared" si="98"/>
        <v>2.9732480391464908</v>
      </c>
    </row>
    <row r="107" spans="1:83" x14ac:dyDescent="0.25">
      <c r="A107" s="276"/>
      <c r="B107" s="32">
        <f t="shared" si="95"/>
        <v>21</v>
      </c>
      <c r="C107" s="69">
        <f t="shared" si="96"/>
        <v>0.66759002770083109</v>
      </c>
      <c r="E107" s="31">
        <f t="shared" si="82"/>
        <v>8.6325301204819276</v>
      </c>
      <c r="F107" s="31">
        <f t="shared" si="83"/>
        <v>-0.15144693891089323</v>
      </c>
      <c r="H107" s="31">
        <f t="shared" si="84"/>
        <v>-1.3073702618030723</v>
      </c>
      <c r="I107" s="31">
        <f t="shared" si="85"/>
        <v>74.520576281027729</v>
      </c>
      <c r="J107" s="31">
        <f t="shared" si="86"/>
        <v>2.2936175305479825E-2</v>
      </c>
      <c r="K107" s="31"/>
      <c r="L107" s="74">
        <f t="shared" si="91"/>
        <v>21</v>
      </c>
      <c r="M107" s="31">
        <f t="shared" si="92"/>
        <v>0.66759002770083109</v>
      </c>
      <c r="N107" s="35">
        <f t="shared" si="93"/>
        <v>0.74603178754194832</v>
      </c>
      <c r="O107" s="35"/>
      <c r="P107" s="35">
        <f t="shared" si="87"/>
        <v>6.1531096869715122E-3</v>
      </c>
      <c r="Q107" s="35">
        <f t="shared" si="88"/>
        <v>7.8441759841117231E-2</v>
      </c>
      <c r="BS107">
        <f t="shared" si="100"/>
        <v>21</v>
      </c>
      <c r="BT107" s="19">
        <f t="shared" si="94"/>
        <v>9.64</v>
      </c>
      <c r="BU107" s="19">
        <f t="shared" si="97"/>
        <v>0.66759002770083109</v>
      </c>
      <c r="CC107">
        <v>19</v>
      </c>
      <c r="CD107">
        <f t="shared" si="99"/>
        <v>0.16</v>
      </c>
      <c r="CE107">
        <f t="shared" si="98"/>
        <v>1.7151547248327732</v>
      </c>
    </row>
    <row r="108" spans="1:83" x14ac:dyDescent="0.25">
      <c r="A108" s="276"/>
      <c r="B108" s="32">
        <f t="shared" si="95"/>
        <v>22</v>
      </c>
      <c r="C108" s="69">
        <f t="shared" si="96"/>
        <v>0.6246537396121884</v>
      </c>
      <c r="E108" s="31">
        <f t="shared" si="82"/>
        <v>9.6325301204819276</v>
      </c>
      <c r="F108" s="31">
        <f t="shared" si="83"/>
        <v>-0.19438322699953592</v>
      </c>
      <c r="H108" s="31">
        <f t="shared" si="84"/>
        <v>-1.8724022889895056</v>
      </c>
      <c r="I108" s="31">
        <f t="shared" si="85"/>
        <v>92.785636521991577</v>
      </c>
      <c r="J108" s="31">
        <f t="shared" si="86"/>
        <v>3.7784838938753111E-2</v>
      </c>
      <c r="K108" s="31"/>
      <c r="L108" s="74">
        <f t="shared" si="91"/>
        <v>22</v>
      </c>
      <c r="M108" s="31">
        <f t="shared" si="92"/>
        <v>0.6246537396121884</v>
      </c>
      <c r="N108" s="35">
        <f t="shared" si="93"/>
        <v>0.73757480238801754</v>
      </c>
      <c r="O108" s="35"/>
      <c r="P108" s="35">
        <f t="shared" si="87"/>
        <v>1.2751166418422746E-2</v>
      </c>
      <c r="Q108" s="35">
        <f t="shared" si="88"/>
        <v>0.11292106277582914</v>
      </c>
      <c r="BS108">
        <f t="shared" si="100"/>
        <v>22</v>
      </c>
      <c r="BT108" s="19">
        <f t="shared" si="94"/>
        <v>9.02</v>
      </c>
      <c r="BU108" s="19">
        <f t="shared" si="97"/>
        <v>0.6246537396121884</v>
      </c>
      <c r="CC108">
        <v>20</v>
      </c>
      <c r="CD108">
        <f t="shared" si="99"/>
        <v>0.18</v>
      </c>
      <c r="CE108">
        <f t="shared" si="98"/>
        <v>0.91942947450644308</v>
      </c>
    </row>
    <row r="109" spans="1:83" x14ac:dyDescent="0.25">
      <c r="A109" s="276"/>
      <c r="B109" s="32">
        <f t="shared" si="95"/>
        <v>23</v>
      </c>
      <c r="C109" s="69">
        <f t="shared" si="96"/>
        <v>0.69459833795013848</v>
      </c>
      <c r="E109" s="31">
        <f t="shared" si="82"/>
        <v>10.632530120481928</v>
      </c>
      <c r="F109" s="31">
        <f t="shared" si="83"/>
        <v>-0.12443862866158584</v>
      </c>
      <c r="H109" s="31">
        <f t="shared" si="84"/>
        <v>-1.3230974673957772</v>
      </c>
      <c r="I109" s="31">
        <f t="shared" si="85"/>
        <v>113.05069676295544</v>
      </c>
      <c r="J109" s="31">
        <f t="shared" si="86"/>
        <v>1.5484972303176052E-2</v>
      </c>
      <c r="K109" s="31"/>
      <c r="L109" s="74">
        <f t="shared" si="91"/>
        <v>23</v>
      </c>
      <c r="M109" s="31">
        <f t="shared" si="92"/>
        <v>0.69459833795013848</v>
      </c>
      <c r="N109" s="35">
        <f t="shared" si="93"/>
        <v>0.72911781723408675</v>
      </c>
      <c r="O109" s="35"/>
      <c r="P109" s="35">
        <f t="shared" si="87"/>
        <v>1.191594450034934E-3</v>
      </c>
      <c r="Q109" s="35">
        <f t="shared" si="88"/>
        <v>3.4519479283948273E-2</v>
      </c>
      <c r="BS109">
        <f t="shared" si="100"/>
        <v>23</v>
      </c>
      <c r="BT109" s="19">
        <f t="shared" si="94"/>
        <v>10.029999999999999</v>
      </c>
      <c r="BU109" s="19">
        <f t="shared" si="97"/>
        <v>0.69459833795013848</v>
      </c>
      <c r="CC109">
        <v>21</v>
      </c>
      <c r="CD109">
        <f>CD108+0.02</f>
        <v>0.19999999999999998</v>
      </c>
      <c r="CE109">
        <f t="shared" si="98"/>
        <v>0.45801161847952565</v>
      </c>
    </row>
    <row r="110" spans="1:83" x14ac:dyDescent="0.25">
      <c r="A110" s="276"/>
      <c r="B110" s="32">
        <f t="shared" si="95"/>
        <v>24</v>
      </c>
      <c r="C110" s="69">
        <f t="shared" si="96"/>
        <v>0.69321329639889195</v>
      </c>
      <c r="E110" s="31">
        <f t="shared" si="82"/>
        <v>11.632530120481928</v>
      </c>
      <c r="F110" s="31">
        <f t="shared" si="83"/>
        <v>-0.12582367021283236</v>
      </c>
      <c r="H110" s="31">
        <f t="shared" si="84"/>
        <v>-1.4636476336203572</v>
      </c>
      <c r="I110" s="31">
        <f t="shared" si="85"/>
        <v>135.31575700391929</v>
      </c>
      <c r="J110" s="31">
        <f t="shared" si="86"/>
        <v>1.5831595985827597E-2</v>
      </c>
      <c r="K110" s="31"/>
      <c r="L110" s="74">
        <f t="shared" si="91"/>
        <v>24</v>
      </c>
      <c r="M110" s="31">
        <f t="shared" si="92"/>
        <v>0.69321329639889195</v>
      </c>
      <c r="N110" s="35">
        <f t="shared" si="93"/>
        <v>0.72066083208015597</v>
      </c>
      <c r="O110" s="35"/>
      <c r="P110" s="35">
        <f t="shared" si="87"/>
        <v>7.5336721497426117E-4</v>
      </c>
      <c r="Q110" s="35">
        <f t="shared" si="88"/>
        <v>2.7447535681264013E-2</v>
      </c>
      <c r="BS110">
        <f t="shared" si="100"/>
        <v>24</v>
      </c>
      <c r="BT110" s="19">
        <f t="shared" si="94"/>
        <v>10.01</v>
      </c>
      <c r="BU110" s="19">
        <f t="shared" si="97"/>
        <v>0.69321329639889195</v>
      </c>
    </row>
    <row r="111" spans="1:83" x14ac:dyDescent="0.25">
      <c r="A111" s="276" t="s">
        <v>18</v>
      </c>
      <c r="B111" s="30">
        <f>AC15</f>
        <v>1</v>
      </c>
      <c r="C111" s="68">
        <f>AH15</f>
        <v>1</v>
      </c>
      <c r="E111" s="31">
        <f t="shared" ref="E111:E142" si="101">B111-$B$11</f>
        <v>-11.367469879518072</v>
      </c>
      <c r="F111" s="31">
        <f t="shared" ref="F111:F142" si="102">C111-$C$11</f>
        <v>0.18096303338827568</v>
      </c>
      <c r="H111" s="31">
        <f t="shared" si="84"/>
        <v>-2.0570918313474471</v>
      </c>
      <c r="I111" s="31">
        <f t="shared" si="85"/>
        <v>129.21937146175063</v>
      </c>
      <c r="J111" s="31">
        <f t="shared" si="86"/>
        <v>3.2747619453086178E-2</v>
      </c>
      <c r="K111" s="31"/>
      <c r="L111" s="74">
        <f t="shared" si="91"/>
        <v>1</v>
      </c>
      <c r="M111" s="31">
        <f t="shared" si="92"/>
        <v>1</v>
      </c>
      <c r="N111" s="35">
        <f t="shared" si="93"/>
        <v>0.91517149062056402</v>
      </c>
      <c r="O111" s="35"/>
      <c r="P111" s="35">
        <f t="shared" si="87"/>
        <v>7.1958760035370582E-3</v>
      </c>
      <c r="Q111" s="35">
        <f t="shared" si="88"/>
        <v>-8.4828509379435979E-2</v>
      </c>
      <c r="BS111">
        <f t="shared" si="100"/>
        <v>1</v>
      </c>
      <c r="BT111" s="19">
        <f t="shared" ref="BT111:BT134" si="103">X15</f>
        <v>11.71</v>
      </c>
      <c r="BU111" s="19">
        <f>AH15</f>
        <v>1</v>
      </c>
    </row>
    <row r="112" spans="1:83" x14ac:dyDescent="0.25">
      <c r="A112" s="276"/>
      <c r="B112" s="30">
        <f t="shared" ref="B112:B134" si="104">AC16</f>
        <v>2</v>
      </c>
      <c r="C112" s="68">
        <f t="shared" ref="C112:C134" si="105">AH16</f>
        <v>0.99487617421007679</v>
      </c>
      <c r="E112" s="31">
        <f t="shared" si="101"/>
        <v>-10.367469879518072</v>
      </c>
      <c r="F112" s="31">
        <f t="shared" si="102"/>
        <v>0.17583920759835248</v>
      </c>
      <c r="H112" s="31">
        <f t="shared" si="84"/>
        <v>-1.8230076884142448</v>
      </c>
      <c r="I112" s="31">
        <f t="shared" si="85"/>
        <v>107.48443170271447</v>
      </c>
      <c r="J112" s="31">
        <f t="shared" si="86"/>
        <v>3.0919426928816499E-2</v>
      </c>
      <c r="K112" s="31"/>
      <c r="L112" s="74">
        <f t="shared" si="91"/>
        <v>2</v>
      </c>
      <c r="M112" s="31">
        <f t="shared" si="92"/>
        <v>0.99487617421007679</v>
      </c>
      <c r="N112" s="35">
        <f t="shared" si="93"/>
        <v>0.90671450546663324</v>
      </c>
      <c r="O112" s="35"/>
      <c r="P112" s="35">
        <f t="shared" si="87"/>
        <v>7.7724798356286727E-3</v>
      </c>
      <c r="Q112" s="35">
        <f t="shared" si="88"/>
        <v>-8.8161668743443555E-2</v>
      </c>
      <c r="BS112">
        <f t="shared" si="100"/>
        <v>2</v>
      </c>
      <c r="BT112" s="19">
        <f t="shared" si="103"/>
        <v>11.65</v>
      </c>
      <c r="BU112" s="19">
        <f t="shared" ref="BU112:BU134" si="106">AH16</f>
        <v>0.99487617421007679</v>
      </c>
    </row>
    <row r="113" spans="1:73" x14ac:dyDescent="0.25">
      <c r="A113" s="276"/>
      <c r="B113" s="30">
        <f t="shared" si="104"/>
        <v>3</v>
      </c>
      <c r="C113" s="68">
        <f t="shared" si="105"/>
        <v>0.94961571306575565</v>
      </c>
      <c r="E113" s="31">
        <f t="shared" si="101"/>
        <v>-9.3674698795180724</v>
      </c>
      <c r="F113" s="31">
        <f t="shared" si="102"/>
        <v>0.13057874645403134</v>
      </c>
      <c r="H113" s="31">
        <f t="shared" si="84"/>
        <v>-1.2231924743133658</v>
      </c>
      <c r="I113" s="31">
        <f t="shared" si="85"/>
        <v>87.749491943678336</v>
      </c>
      <c r="J113" s="31">
        <f t="shared" si="86"/>
        <v>1.7050809025506201E-2</v>
      </c>
      <c r="K113" s="31"/>
      <c r="L113" s="74">
        <f t="shared" si="91"/>
        <v>3</v>
      </c>
      <c r="M113" s="31">
        <f t="shared" si="92"/>
        <v>0.94961571306575565</v>
      </c>
      <c r="N113" s="35">
        <f t="shared" si="93"/>
        <v>0.89825752031270245</v>
      </c>
      <c r="O113" s="35"/>
      <c r="P113" s="35">
        <f t="shared" si="87"/>
        <v>2.637663962859766E-3</v>
      </c>
      <c r="Q113" s="35">
        <f t="shared" si="88"/>
        <v>-5.13581927530532E-2</v>
      </c>
      <c r="BS113">
        <f t="shared" si="100"/>
        <v>3</v>
      </c>
      <c r="BT113" s="19">
        <f t="shared" si="103"/>
        <v>11.12</v>
      </c>
      <c r="BU113" s="19">
        <f t="shared" si="106"/>
        <v>0.94961571306575565</v>
      </c>
    </row>
    <row r="114" spans="1:73" x14ac:dyDescent="0.25">
      <c r="A114" s="276"/>
      <c r="B114" s="30">
        <f t="shared" si="104"/>
        <v>4</v>
      </c>
      <c r="C114" s="68">
        <f t="shared" si="105"/>
        <v>0.90862510674637065</v>
      </c>
      <c r="E114" s="31">
        <f t="shared" si="101"/>
        <v>-8.3674698795180724</v>
      </c>
      <c r="F114" s="31">
        <f t="shared" si="102"/>
        <v>8.9588140134646332E-2</v>
      </c>
      <c r="H114" s="31">
        <f t="shared" si="84"/>
        <v>-0.74962606413869737</v>
      </c>
      <c r="I114" s="31">
        <f t="shared" si="85"/>
        <v>70.014552184642184</v>
      </c>
      <c r="J114" s="31">
        <f t="shared" si="86"/>
        <v>8.0260348527850297E-3</v>
      </c>
      <c r="K114" s="31"/>
      <c r="L114" s="74">
        <f t="shared" si="91"/>
        <v>4</v>
      </c>
      <c r="M114" s="31">
        <f t="shared" si="92"/>
        <v>0.90862510674637065</v>
      </c>
      <c r="N114" s="35">
        <f t="shared" si="93"/>
        <v>0.88980053515877167</v>
      </c>
      <c r="O114" s="35"/>
      <c r="P114" s="35">
        <f t="shared" si="87"/>
        <v>3.5436449545663885E-4</v>
      </c>
      <c r="Q114" s="35">
        <f t="shared" si="88"/>
        <v>-1.8824571587598982E-2</v>
      </c>
      <c r="BS114">
        <f t="shared" si="100"/>
        <v>4</v>
      </c>
      <c r="BT114" s="19">
        <f t="shared" si="103"/>
        <v>10.64</v>
      </c>
      <c r="BU114" s="19">
        <f t="shared" si="106"/>
        <v>0.90862510674637065</v>
      </c>
    </row>
    <row r="115" spans="1:73" x14ac:dyDescent="0.25">
      <c r="A115" s="276"/>
      <c r="B115" s="30">
        <f t="shared" si="104"/>
        <v>5</v>
      </c>
      <c r="C115" s="68">
        <f t="shared" si="105"/>
        <v>0.93424423569598625</v>
      </c>
      <c r="E115" s="31">
        <f t="shared" si="101"/>
        <v>-7.3674698795180724</v>
      </c>
      <c r="F115" s="31">
        <f t="shared" si="102"/>
        <v>0.11520726908426193</v>
      </c>
      <c r="H115" s="31">
        <f t="shared" si="84"/>
        <v>-0.84878608487983342</v>
      </c>
      <c r="I115" s="31">
        <f t="shared" si="85"/>
        <v>54.279612425606039</v>
      </c>
      <c r="J115" s="31">
        <f t="shared" si="86"/>
        <v>1.3272714849853534E-2</v>
      </c>
      <c r="K115" s="31"/>
      <c r="L115" s="74">
        <f t="shared" si="91"/>
        <v>5</v>
      </c>
      <c r="M115" s="31">
        <f t="shared" si="92"/>
        <v>0.93424423569598625</v>
      </c>
      <c r="N115" s="35">
        <f t="shared" si="93"/>
        <v>0.88134355000484088</v>
      </c>
      <c r="O115" s="35"/>
      <c r="P115" s="35">
        <f t="shared" si="87"/>
        <v>2.7984825465933519E-3</v>
      </c>
      <c r="Q115" s="35">
        <f t="shared" si="88"/>
        <v>-5.2900685691145366E-2</v>
      </c>
      <c r="BS115">
        <f t="shared" si="100"/>
        <v>5</v>
      </c>
      <c r="BT115" s="19">
        <f t="shared" si="103"/>
        <v>10.94</v>
      </c>
      <c r="BU115" s="19">
        <f t="shared" si="106"/>
        <v>0.93424423569598625</v>
      </c>
    </row>
    <row r="116" spans="1:73" x14ac:dyDescent="0.25">
      <c r="A116" s="276"/>
      <c r="B116" s="30">
        <f t="shared" si="104"/>
        <v>6</v>
      </c>
      <c r="C116" s="68">
        <f t="shared" si="105"/>
        <v>0.88129803586678046</v>
      </c>
      <c r="E116" s="31">
        <f t="shared" si="101"/>
        <v>-6.3674698795180724</v>
      </c>
      <c r="F116" s="31">
        <f t="shared" si="102"/>
        <v>6.2261069255056145E-2</v>
      </c>
      <c r="H116" s="31">
        <f t="shared" si="84"/>
        <v>-0.39644548314815869</v>
      </c>
      <c r="I116" s="31">
        <f t="shared" si="85"/>
        <v>40.544672666569895</v>
      </c>
      <c r="J116" s="31">
        <f t="shared" si="86"/>
        <v>3.8764407447828978E-3</v>
      </c>
      <c r="K116" s="31"/>
      <c r="L116" s="74">
        <f t="shared" si="91"/>
        <v>6</v>
      </c>
      <c r="M116" s="31">
        <f t="shared" si="92"/>
        <v>0.88129803586678046</v>
      </c>
      <c r="N116" s="35">
        <f t="shared" si="93"/>
        <v>0.8728865648509101</v>
      </c>
      <c r="O116" s="35"/>
      <c r="P116" s="35">
        <f t="shared" si="87"/>
        <v>7.0752844650827216E-5</v>
      </c>
      <c r="Q116" s="35">
        <f t="shared" si="88"/>
        <v>-8.4114710158703643E-3</v>
      </c>
      <c r="BS116">
        <f t="shared" si="100"/>
        <v>6</v>
      </c>
      <c r="BT116" s="19">
        <f t="shared" si="103"/>
        <v>10.32</v>
      </c>
      <c r="BU116" s="19">
        <f t="shared" si="106"/>
        <v>0.88129803586678046</v>
      </c>
    </row>
    <row r="117" spans="1:73" x14ac:dyDescent="0.25">
      <c r="A117" s="276"/>
      <c r="B117" s="30">
        <f t="shared" si="104"/>
        <v>7</v>
      </c>
      <c r="C117" s="68">
        <f t="shared" si="105"/>
        <v>0.91801878736122966</v>
      </c>
      <c r="E117" s="31">
        <f t="shared" si="101"/>
        <v>-5.3674698795180724</v>
      </c>
      <c r="F117" s="31">
        <f t="shared" si="102"/>
        <v>9.8981820749505345E-2</v>
      </c>
      <c r="H117" s="31">
        <f t="shared" si="84"/>
        <v>-0.53128194149282693</v>
      </c>
      <c r="I117" s="31">
        <f t="shared" si="85"/>
        <v>28.80973290753375</v>
      </c>
      <c r="J117" s="31">
        <f t="shared" si="86"/>
        <v>9.7974008388872075E-3</v>
      </c>
      <c r="K117" s="31"/>
      <c r="L117" s="74">
        <f t="shared" si="91"/>
        <v>7</v>
      </c>
      <c r="M117" s="31">
        <f t="shared" si="92"/>
        <v>0.91801878736122966</v>
      </c>
      <c r="N117" s="35">
        <f t="shared" si="93"/>
        <v>0.86442957969697931</v>
      </c>
      <c r="O117" s="35"/>
      <c r="P117" s="35">
        <f t="shared" si="87"/>
        <v>2.8718031780821484E-3</v>
      </c>
      <c r="Q117" s="35">
        <f t="shared" si="88"/>
        <v>-5.3589207664250349E-2</v>
      </c>
      <c r="BS117">
        <f t="shared" si="100"/>
        <v>7</v>
      </c>
      <c r="BT117" s="19">
        <f t="shared" si="103"/>
        <v>10.75</v>
      </c>
      <c r="BU117" s="19">
        <f t="shared" si="106"/>
        <v>0.91801878736122966</v>
      </c>
    </row>
    <row r="118" spans="1:73" x14ac:dyDescent="0.25">
      <c r="A118" s="276"/>
      <c r="B118" s="30">
        <f t="shared" si="104"/>
        <v>8</v>
      </c>
      <c r="C118" s="68">
        <f t="shared" si="105"/>
        <v>0.87019641332194697</v>
      </c>
      <c r="E118" s="31">
        <f t="shared" si="101"/>
        <v>-4.3674698795180724</v>
      </c>
      <c r="F118" s="31">
        <f t="shared" si="102"/>
        <v>5.1159446710222656E-2</v>
      </c>
      <c r="H118" s="31">
        <f t="shared" si="84"/>
        <v>-0.2234373425597074</v>
      </c>
      <c r="I118" s="31">
        <f t="shared" si="85"/>
        <v>19.074793148497605</v>
      </c>
      <c r="J118" s="31">
        <f t="shared" si="86"/>
        <v>2.6172889876961117E-3</v>
      </c>
      <c r="K118" s="31"/>
      <c r="L118" s="74">
        <f t="shared" si="91"/>
        <v>8</v>
      </c>
      <c r="M118" s="31">
        <f t="shared" si="92"/>
        <v>0.87019641332194697</v>
      </c>
      <c r="N118" s="35">
        <f t="shared" si="93"/>
        <v>0.85597259454304853</v>
      </c>
      <c r="O118" s="35"/>
      <c r="P118" s="35">
        <f t="shared" si="87"/>
        <v>2.0231702065494404E-4</v>
      </c>
      <c r="Q118" s="35">
        <f t="shared" si="88"/>
        <v>-1.4223818778898445E-2</v>
      </c>
      <c r="BS118">
        <f t="shared" si="100"/>
        <v>8</v>
      </c>
      <c r="BT118" s="19">
        <f t="shared" si="103"/>
        <v>10.19</v>
      </c>
      <c r="BU118" s="19">
        <f t="shared" si="106"/>
        <v>0.87019641332194697</v>
      </c>
    </row>
    <row r="119" spans="1:73" x14ac:dyDescent="0.25">
      <c r="A119" s="276"/>
      <c r="B119" s="30">
        <f t="shared" si="104"/>
        <v>9</v>
      </c>
      <c r="C119" s="68">
        <f t="shared" si="105"/>
        <v>0.80871050384286935</v>
      </c>
      <c r="E119" s="31">
        <f t="shared" si="101"/>
        <v>-3.3674698795180724</v>
      </c>
      <c r="F119" s="31">
        <f t="shared" si="102"/>
        <v>-1.032646276885496E-2</v>
      </c>
      <c r="H119" s="31">
        <f t="shared" si="84"/>
        <v>3.4774052336083876E-2</v>
      </c>
      <c r="I119" s="31">
        <f t="shared" si="85"/>
        <v>11.339853389461462</v>
      </c>
      <c r="J119" s="31">
        <f t="shared" si="86"/>
        <v>1.0663583331654765E-4</v>
      </c>
      <c r="K119" s="31"/>
      <c r="L119" s="74">
        <f t="shared" si="91"/>
        <v>9</v>
      </c>
      <c r="M119" s="31">
        <f t="shared" si="92"/>
        <v>0.80871050384286935</v>
      </c>
      <c r="N119" s="35">
        <f t="shared" si="93"/>
        <v>0.84751560938911774</v>
      </c>
      <c r="O119" s="35"/>
      <c r="P119" s="35">
        <f t="shared" si="87"/>
        <v>1.5058362164554772E-3</v>
      </c>
      <c r="Q119" s="35">
        <f t="shared" si="88"/>
        <v>3.8805105546248386E-2</v>
      </c>
      <c r="BS119">
        <f t="shared" si="100"/>
        <v>9</v>
      </c>
      <c r="BT119" s="19">
        <f t="shared" si="103"/>
        <v>9.4700000000000006</v>
      </c>
      <c r="BU119" s="19">
        <f t="shared" si="106"/>
        <v>0.80871050384286935</v>
      </c>
    </row>
    <row r="120" spans="1:73" x14ac:dyDescent="0.25">
      <c r="A120" s="276"/>
      <c r="B120" s="30">
        <f t="shared" si="104"/>
        <v>10</v>
      </c>
      <c r="C120" s="68">
        <f t="shared" si="105"/>
        <v>0.90606319385140899</v>
      </c>
      <c r="E120" s="31">
        <f t="shared" si="101"/>
        <v>-2.3674698795180724</v>
      </c>
      <c r="F120" s="31">
        <f t="shared" si="102"/>
        <v>8.7026227239684673E-2</v>
      </c>
      <c r="H120" s="31">
        <f t="shared" si="84"/>
        <v>-0.20603197171804866</v>
      </c>
      <c r="I120" s="31">
        <f t="shared" si="85"/>
        <v>5.6049136304253162</v>
      </c>
      <c r="J120" s="31">
        <f t="shared" si="86"/>
        <v>7.5735642275732342E-3</v>
      </c>
      <c r="K120" s="31"/>
      <c r="L120" s="74">
        <f t="shared" si="91"/>
        <v>10</v>
      </c>
      <c r="M120" s="31">
        <f t="shared" si="92"/>
        <v>0.90606319385140899</v>
      </c>
      <c r="N120" s="35">
        <f t="shared" si="93"/>
        <v>0.83905862423518696</v>
      </c>
      <c r="O120" s="35"/>
      <c r="P120" s="35">
        <f t="shared" si="87"/>
        <v>4.489612349455145E-3</v>
      </c>
      <c r="Q120" s="35">
        <f t="shared" si="88"/>
        <v>-6.7004569616222032E-2</v>
      </c>
      <c r="BS120">
        <f t="shared" si="100"/>
        <v>10</v>
      </c>
      <c r="BT120" s="19">
        <f t="shared" si="103"/>
        <v>10.61</v>
      </c>
      <c r="BU120" s="19">
        <f t="shared" si="106"/>
        <v>0.90606319385140899</v>
      </c>
    </row>
    <row r="121" spans="1:73" x14ac:dyDescent="0.25">
      <c r="A121" s="276"/>
      <c r="B121" s="30">
        <f t="shared" si="104"/>
        <v>11</v>
      </c>
      <c r="C121" s="68">
        <f t="shared" si="105"/>
        <v>0.81212638770281798</v>
      </c>
      <c r="E121" s="31">
        <f t="shared" si="101"/>
        <v>-1.3674698795180724</v>
      </c>
      <c r="F121" s="31">
        <f t="shared" si="102"/>
        <v>-6.9105789089063396E-3</v>
      </c>
      <c r="H121" s="31">
        <f t="shared" si="84"/>
        <v>9.4500085079622844E-3</v>
      </c>
      <c r="I121" s="31">
        <f t="shared" si="85"/>
        <v>1.8699738713891716</v>
      </c>
      <c r="J121" s="31">
        <f t="shared" si="86"/>
        <v>4.7756100856221136E-5</v>
      </c>
      <c r="K121" s="31"/>
      <c r="L121" s="74">
        <f t="shared" si="91"/>
        <v>11</v>
      </c>
      <c r="M121" s="31">
        <f t="shared" si="92"/>
        <v>0.81212638770281798</v>
      </c>
      <c r="N121" s="35">
        <f t="shared" si="93"/>
        <v>0.83060163908125617</v>
      </c>
      <c r="O121" s="35"/>
      <c r="P121" s="35">
        <f t="shared" si="87"/>
        <v>3.4133491349648245E-4</v>
      </c>
      <c r="Q121" s="35">
        <f t="shared" si="88"/>
        <v>1.8475251378438196E-2</v>
      </c>
      <c r="BS121">
        <f t="shared" si="100"/>
        <v>11</v>
      </c>
      <c r="BT121" s="19">
        <f t="shared" si="103"/>
        <v>9.51</v>
      </c>
      <c r="BU121" s="19">
        <f t="shared" si="106"/>
        <v>0.81212638770281798</v>
      </c>
    </row>
    <row r="122" spans="1:73" x14ac:dyDescent="0.25">
      <c r="A122" s="276"/>
      <c r="B122" s="30">
        <f t="shared" si="104"/>
        <v>12</v>
      </c>
      <c r="C122" s="68">
        <f t="shared" si="105"/>
        <v>0.7805294619982921</v>
      </c>
      <c r="E122" s="31">
        <f t="shared" si="101"/>
        <v>-0.36746987951807242</v>
      </c>
      <c r="F122" s="31">
        <f t="shared" si="102"/>
        <v>-3.850750461343222E-2</v>
      </c>
      <c r="H122" s="31">
        <f t="shared" si="84"/>
        <v>1.4150348080839556E-2</v>
      </c>
      <c r="I122" s="31">
        <f t="shared" si="85"/>
        <v>0.13503411235302665</v>
      </c>
      <c r="J122" s="31">
        <f t="shared" si="86"/>
        <v>1.4828279115535036E-3</v>
      </c>
      <c r="K122" s="31"/>
      <c r="L122" s="74">
        <f t="shared" si="91"/>
        <v>12</v>
      </c>
      <c r="M122" s="31">
        <f t="shared" si="92"/>
        <v>0.7805294619982921</v>
      </c>
      <c r="N122" s="35">
        <f t="shared" si="93"/>
        <v>0.82214465392732539</v>
      </c>
      <c r="O122" s="35"/>
      <c r="P122" s="35">
        <f t="shared" si="87"/>
        <v>1.7318241992902775E-3</v>
      </c>
      <c r="Q122" s="35">
        <f t="shared" si="88"/>
        <v>4.1615191929033291E-2</v>
      </c>
      <c r="BS122">
        <f t="shared" si="100"/>
        <v>12</v>
      </c>
      <c r="BT122" s="19">
        <f t="shared" si="103"/>
        <v>9.14</v>
      </c>
      <c r="BU122" s="19">
        <f t="shared" si="106"/>
        <v>0.7805294619982921</v>
      </c>
    </row>
    <row r="123" spans="1:73" x14ac:dyDescent="0.25">
      <c r="A123" s="276"/>
      <c r="B123" s="30">
        <f t="shared" si="104"/>
        <v>13</v>
      </c>
      <c r="C123" s="68">
        <f t="shared" si="105"/>
        <v>0.81895815542271555</v>
      </c>
      <c r="E123" s="31">
        <f t="shared" si="101"/>
        <v>0.63253012048192758</v>
      </c>
      <c r="F123" s="31">
        <f t="shared" si="102"/>
        <v>-7.8811189008765048E-5</v>
      </c>
      <c r="H123" s="31">
        <f t="shared" si="84"/>
        <v>-4.9850450879038124E-5</v>
      </c>
      <c r="I123" s="31">
        <f t="shared" si="85"/>
        <v>0.40009435331688181</v>
      </c>
      <c r="J123" s="31">
        <f t="shared" si="86"/>
        <v>6.2112035129752888E-9</v>
      </c>
      <c r="K123" s="31"/>
      <c r="L123" s="74">
        <f t="shared" si="91"/>
        <v>13</v>
      </c>
      <c r="M123" s="31">
        <f t="shared" si="92"/>
        <v>0.81895815542271555</v>
      </c>
      <c r="N123" s="35">
        <f t="shared" si="93"/>
        <v>0.8136876687733946</v>
      </c>
      <c r="O123" s="35"/>
      <c r="P123" s="35">
        <f t="shared" si="87"/>
        <v>2.7778029520670363E-5</v>
      </c>
      <c r="Q123" s="35">
        <f t="shared" si="88"/>
        <v>-5.270486649320949E-3</v>
      </c>
      <c r="BS123">
        <f t="shared" si="100"/>
        <v>13</v>
      </c>
      <c r="BT123" s="19">
        <f t="shared" si="103"/>
        <v>9.59</v>
      </c>
      <c r="BU123" s="19">
        <f t="shared" si="106"/>
        <v>0.81895815542271555</v>
      </c>
    </row>
    <row r="124" spans="1:73" x14ac:dyDescent="0.25">
      <c r="A124" s="276"/>
      <c r="B124" s="30">
        <f t="shared" si="104"/>
        <v>14</v>
      </c>
      <c r="C124" s="68">
        <f t="shared" si="105"/>
        <v>0.84286934244235678</v>
      </c>
      <c r="E124" s="31">
        <f t="shared" si="101"/>
        <v>1.6325301204819276</v>
      </c>
      <c r="F124" s="31">
        <f t="shared" si="102"/>
        <v>2.3832375830632468E-2</v>
      </c>
      <c r="H124" s="31">
        <f t="shared" si="84"/>
        <v>3.8907071386153E-2</v>
      </c>
      <c r="I124" s="31">
        <f t="shared" si="85"/>
        <v>2.6651545942807369</v>
      </c>
      <c r="J124" s="31">
        <f t="shared" si="86"/>
        <v>5.679821377325146E-4</v>
      </c>
      <c r="K124" s="31"/>
      <c r="L124" s="74">
        <f t="shared" si="91"/>
        <v>14</v>
      </c>
      <c r="M124" s="31">
        <f t="shared" si="92"/>
        <v>0.84286934244235678</v>
      </c>
      <c r="N124" s="35">
        <f t="shared" si="93"/>
        <v>0.80523068361946382</v>
      </c>
      <c r="O124" s="35"/>
      <c r="P124" s="35">
        <f t="shared" si="87"/>
        <v>1.4166686379861386E-3</v>
      </c>
      <c r="Q124" s="35">
        <f t="shared" si="88"/>
        <v>-3.7638658822892967E-2</v>
      </c>
      <c r="BS124">
        <f t="shared" si="100"/>
        <v>14</v>
      </c>
      <c r="BT124" s="19">
        <f t="shared" si="103"/>
        <v>9.8699999999999992</v>
      </c>
      <c r="BU124" s="19">
        <f t="shared" si="106"/>
        <v>0.84286934244235678</v>
      </c>
    </row>
    <row r="125" spans="1:73" x14ac:dyDescent="0.25">
      <c r="A125" s="276"/>
      <c r="B125" s="30">
        <f t="shared" si="104"/>
        <v>15</v>
      </c>
      <c r="C125" s="68">
        <f t="shared" si="105"/>
        <v>0.7275832621690862</v>
      </c>
      <c r="E125" s="31">
        <f t="shared" si="101"/>
        <v>2.6325301204819276</v>
      </c>
      <c r="F125" s="31">
        <f t="shared" si="102"/>
        <v>-9.1453704442638117E-2</v>
      </c>
      <c r="H125" s="31">
        <f t="shared" si="84"/>
        <v>-0.24075463157489671</v>
      </c>
      <c r="I125" s="31">
        <f t="shared" si="85"/>
        <v>6.930214835244592</v>
      </c>
      <c r="J125" s="31">
        <f t="shared" si="86"/>
        <v>8.3637800562814061E-3</v>
      </c>
      <c r="K125" s="31"/>
      <c r="L125" s="74">
        <f t="shared" si="91"/>
        <v>15</v>
      </c>
      <c r="M125" s="31">
        <f t="shared" si="92"/>
        <v>0.7275832621690862</v>
      </c>
      <c r="N125" s="35">
        <f t="shared" si="93"/>
        <v>0.79677369846553303</v>
      </c>
      <c r="O125" s="35"/>
      <c r="P125" s="35">
        <f t="shared" si="87"/>
        <v>4.7873164748926675E-3</v>
      </c>
      <c r="Q125" s="35">
        <f t="shared" si="88"/>
        <v>6.9190436296446833E-2</v>
      </c>
      <c r="BS125">
        <f t="shared" si="100"/>
        <v>15</v>
      </c>
      <c r="BT125" s="19">
        <f t="shared" si="103"/>
        <v>8.52</v>
      </c>
      <c r="BU125" s="19">
        <f t="shared" si="106"/>
        <v>0.7275832621690862</v>
      </c>
    </row>
    <row r="126" spans="1:73" x14ac:dyDescent="0.25">
      <c r="A126" s="276"/>
      <c r="B126" s="30">
        <f t="shared" si="104"/>
        <v>16</v>
      </c>
      <c r="C126" s="68">
        <f t="shared" si="105"/>
        <v>0.78736122971818956</v>
      </c>
      <c r="E126" s="31">
        <f t="shared" si="101"/>
        <v>3.6325301204819276</v>
      </c>
      <c r="F126" s="31">
        <f t="shared" si="102"/>
        <v>-3.1675736893534756E-2</v>
      </c>
      <c r="H126" s="31">
        <f t="shared" si="84"/>
        <v>-0.11506306835422564</v>
      </c>
      <c r="I126" s="31">
        <f t="shared" si="85"/>
        <v>13.195275076208448</v>
      </c>
      <c r="J126" s="31">
        <f t="shared" si="86"/>
        <v>1.0033523077484388E-3</v>
      </c>
      <c r="K126" s="31"/>
      <c r="L126" s="74">
        <f t="shared" si="91"/>
        <v>16</v>
      </c>
      <c r="M126" s="31">
        <f t="shared" si="92"/>
        <v>0.78736122971818956</v>
      </c>
      <c r="N126" s="35">
        <f t="shared" si="93"/>
        <v>0.78831671331160225</v>
      </c>
      <c r="O126" s="35"/>
      <c r="P126" s="35">
        <f t="shared" si="87"/>
        <v>9.1294889728082107E-7</v>
      </c>
      <c r="Q126" s="35">
        <f t="shared" si="88"/>
        <v>9.5548359341268707E-4</v>
      </c>
      <c r="BS126">
        <f t="shared" si="100"/>
        <v>16</v>
      </c>
      <c r="BT126" s="19">
        <f t="shared" si="103"/>
        <v>9.2200000000000006</v>
      </c>
      <c r="BU126" s="19">
        <f t="shared" si="106"/>
        <v>0.78736122971818956</v>
      </c>
    </row>
    <row r="127" spans="1:73" x14ac:dyDescent="0.25">
      <c r="A127" s="276"/>
      <c r="B127" s="30">
        <f t="shared" si="104"/>
        <v>17</v>
      </c>
      <c r="C127" s="68">
        <f t="shared" si="105"/>
        <v>0.80187873612297178</v>
      </c>
      <c r="E127" s="31">
        <f t="shared" si="101"/>
        <v>4.6325301204819276</v>
      </c>
      <c r="F127" s="31">
        <f t="shared" si="102"/>
        <v>-1.7158230488752535E-2</v>
      </c>
      <c r="H127" s="31">
        <f t="shared" si="84"/>
        <v>-7.9486019553317466E-2</v>
      </c>
      <c r="I127" s="31">
        <f t="shared" si="85"/>
        <v>21.460335317172301</v>
      </c>
      <c r="J127" s="31">
        <f t="shared" si="86"/>
        <v>2.9440487350515705E-4</v>
      </c>
      <c r="K127" s="31"/>
      <c r="L127" s="74">
        <f t="shared" si="91"/>
        <v>17</v>
      </c>
      <c r="M127" s="31">
        <f t="shared" si="92"/>
        <v>0.80187873612297178</v>
      </c>
      <c r="N127" s="35">
        <f t="shared" si="93"/>
        <v>0.77985972815767146</v>
      </c>
      <c r="O127" s="35"/>
      <c r="P127" s="35">
        <f t="shared" si="87"/>
        <v>4.8483671177595891E-4</v>
      </c>
      <c r="Q127" s="35">
        <f t="shared" si="88"/>
        <v>-2.2019007965300319E-2</v>
      </c>
      <c r="BS127">
        <f t="shared" si="100"/>
        <v>17</v>
      </c>
      <c r="BT127" s="19">
        <f t="shared" si="103"/>
        <v>9.39</v>
      </c>
      <c r="BU127" s="19">
        <f t="shared" si="106"/>
        <v>0.80187873612297178</v>
      </c>
    </row>
    <row r="128" spans="1:73" x14ac:dyDescent="0.25">
      <c r="A128" s="276"/>
      <c r="B128" s="30">
        <f t="shared" si="104"/>
        <v>18</v>
      </c>
      <c r="C128" s="68">
        <f t="shared" si="105"/>
        <v>0.86165670367207503</v>
      </c>
      <c r="E128" s="31">
        <f t="shared" si="101"/>
        <v>5.6325301204819276</v>
      </c>
      <c r="F128" s="31">
        <f t="shared" si="102"/>
        <v>4.2619737060350715E-2</v>
      </c>
      <c r="H128" s="31">
        <f t="shared" si="84"/>
        <v>0.2400569527194453</v>
      </c>
      <c r="I128" s="31">
        <f t="shared" si="85"/>
        <v>31.725395558136157</v>
      </c>
      <c r="J128" s="31">
        <f t="shared" si="86"/>
        <v>1.8164419870934322E-3</v>
      </c>
      <c r="K128" s="31"/>
      <c r="L128" s="74">
        <f t="shared" si="91"/>
        <v>18</v>
      </c>
      <c r="M128" s="31">
        <f t="shared" si="92"/>
        <v>0.86165670367207503</v>
      </c>
      <c r="N128" s="35">
        <f t="shared" si="93"/>
        <v>0.77140274300374068</v>
      </c>
      <c r="O128" s="35"/>
      <c r="P128" s="35">
        <f t="shared" si="87"/>
        <v>8.1457774163212447E-3</v>
      </c>
      <c r="Q128" s="35">
        <f t="shared" si="88"/>
        <v>-9.0253960668334354E-2</v>
      </c>
      <c r="BS128">
        <f t="shared" si="100"/>
        <v>18</v>
      </c>
      <c r="BT128" s="19">
        <f t="shared" si="103"/>
        <v>10.09</v>
      </c>
      <c r="BU128" s="19">
        <f t="shared" si="106"/>
        <v>0.86165670367207503</v>
      </c>
    </row>
    <row r="129" spans="1:73" x14ac:dyDescent="0.25">
      <c r="A129" s="276"/>
      <c r="B129" s="30">
        <f t="shared" si="104"/>
        <v>19</v>
      </c>
      <c r="C129" s="68">
        <f t="shared" si="105"/>
        <v>0.76857386848847131</v>
      </c>
      <c r="E129" s="31">
        <f t="shared" si="101"/>
        <v>6.6325301204819276</v>
      </c>
      <c r="F129" s="31">
        <f t="shared" si="102"/>
        <v>-5.0463098123253003E-2</v>
      </c>
      <c r="H129" s="31">
        <f t="shared" si="84"/>
        <v>-0.33469801827531059</v>
      </c>
      <c r="I129" s="31">
        <f t="shared" si="85"/>
        <v>43.990455799100012</v>
      </c>
      <c r="J129" s="31">
        <f t="shared" si="86"/>
        <v>2.5465242721970606E-3</v>
      </c>
      <c r="K129" s="31"/>
      <c r="L129" s="74">
        <f t="shared" si="91"/>
        <v>19</v>
      </c>
      <c r="M129" s="31">
        <f t="shared" si="92"/>
        <v>0.76857386848847131</v>
      </c>
      <c r="N129" s="35">
        <f t="shared" si="93"/>
        <v>0.76294575784980989</v>
      </c>
      <c r="O129" s="35"/>
      <c r="P129" s="35">
        <f t="shared" si="87"/>
        <v>3.167562936101387E-5</v>
      </c>
      <c r="Q129" s="35">
        <f t="shared" si="88"/>
        <v>-5.628110638661421E-3</v>
      </c>
      <c r="BS129">
        <f t="shared" si="100"/>
        <v>19</v>
      </c>
      <c r="BT129" s="19">
        <f t="shared" si="103"/>
        <v>9</v>
      </c>
      <c r="BU129" s="19">
        <f t="shared" si="106"/>
        <v>0.76857386848847131</v>
      </c>
    </row>
    <row r="130" spans="1:73" x14ac:dyDescent="0.25">
      <c r="A130" s="276"/>
      <c r="B130" s="30">
        <f t="shared" si="104"/>
        <v>20</v>
      </c>
      <c r="C130" s="68">
        <f t="shared" si="105"/>
        <v>0.81895815542271555</v>
      </c>
      <c r="E130" s="31">
        <f t="shared" si="101"/>
        <v>7.6325301204819276</v>
      </c>
      <c r="F130" s="31">
        <f t="shared" si="102"/>
        <v>-7.8811189008765048E-5</v>
      </c>
      <c r="H130" s="31">
        <f t="shared" si="84"/>
        <v>-6.0152877394039348E-4</v>
      </c>
      <c r="I130" s="31">
        <f t="shared" si="85"/>
        <v>58.255516040063867</v>
      </c>
      <c r="J130" s="31">
        <f t="shared" si="86"/>
        <v>6.2112035129752888E-9</v>
      </c>
      <c r="K130" s="31"/>
      <c r="L130" s="74">
        <f t="shared" si="91"/>
        <v>20</v>
      </c>
      <c r="M130" s="31">
        <f t="shared" si="92"/>
        <v>0.81895815542271555</v>
      </c>
      <c r="N130" s="35">
        <f t="shared" si="93"/>
        <v>0.75448877269587911</v>
      </c>
      <c r="O130" s="35"/>
      <c r="P130" s="35">
        <f t="shared" si="87"/>
        <v>4.156301309179317E-3</v>
      </c>
      <c r="Q130" s="35">
        <f t="shared" si="88"/>
        <v>-6.4469382726836444E-2</v>
      </c>
      <c r="BS130">
        <f t="shared" si="100"/>
        <v>20</v>
      </c>
      <c r="BT130" s="19">
        <f t="shared" si="103"/>
        <v>9.59</v>
      </c>
      <c r="BU130" s="19">
        <f t="shared" si="106"/>
        <v>0.81895815542271555</v>
      </c>
    </row>
    <row r="131" spans="1:73" x14ac:dyDescent="0.25">
      <c r="A131" s="276"/>
      <c r="B131" s="30">
        <f t="shared" si="104"/>
        <v>21</v>
      </c>
      <c r="C131" s="68">
        <f t="shared" si="105"/>
        <v>0.71648163962425282</v>
      </c>
      <c r="E131" s="31">
        <f t="shared" si="101"/>
        <v>8.6325301204819276</v>
      </c>
      <c r="F131" s="31">
        <f t="shared" si="102"/>
        <v>-0.1025553269874715</v>
      </c>
      <c r="H131" s="31">
        <f t="shared" si="84"/>
        <v>-0.88531194923522083</v>
      </c>
      <c r="I131" s="31">
        <f t="shared" si="85"/>
        <v>74.520576281027729</v>
      </c>
      <c r="J131" s="31">
        <f t="shared" si="86"/>
        <v>1.05175950935072E-2</v>
      </c>
      <c r="K131" s="31"/>
      <c r="L131" s="74">
        <f t="shared" si="91"/>
        <v>21</v>
      </c>
      <c r="M131" s="31">
        <f t="shared" si="92"/>
        <v>0.71648163962425282</v>
      </c>
      <c r="N131" s="35">
        <f t="shared" si="93"/>
        <v>0.74603178754194832</v>
      </c>
      <c r="O131" s="35"/>
      <c r="P131" s="35">
        <f t="shared" si="87"/>
        <v>8.7321124195768375E-4</v>
      </c>
      <c r="Q131" s="35">
        <f t="shared" si="88"/>
        <v>2.9550147917695502E-2</v>
      </c>
      <c r="BS131">
        <f t="shared" si="100"/>
        <v>21</v>
      </c>
      <c r="BT131" s="19">
        <f t="shared" si="103"/>
        <v>8.39</v>
      </c>
      <c r="BU131" s="19">
        <f t="shared" si="106"/>
        <v>0.71648163962425282</v>
      </c>
    </row>
    <row r="132" spans="1:73" x14ac:dyDescent="0.25">
      <c r="A132" s="276"/>
      <c r="B132" s="30">
        <f t="shared" si="104"/>
        <v>22</v>
      </c>
      <c r="C132" s="68">
        <f t="shared" si="105"/>
        <v>0.73014517506404786</v>
      </c>
      <c r="E132" s="31">
        <f t="shared" si="101"/>
        <v>9.6325301204819276</v>
      </c>
      <c r="F132" s="31">
        <f t="shared" si="102"/>
        <v>-8.8891791547676458E-2</v>
      </c>
      <c r="H132" s="31">
        <f t="shared" si="84"/>
        <v>-0.85625285954659425</v>
      </c>
      <c r="I132" s="31">
        <f t="shared" si="85"/>
        <v>92.785636521991577</v>
      </c>
      <c r="J132" s="31">
        <f t="shared" si="86"/>
        <v>7.9017506045555644E-3</v>
      </c>
      <c r="K132" s="31"/>
      <c r="L132" s="74">
        <f t="shared" si="91"/>
        <v>22</v>
      </c>
      <c r="M132" s="31">
        <f t="shared" si="92"/>
        <v>0.73014517506404786</v>
      </c>
      <c r="N132" s="35">
        <f t="shared" si="93"/>
        <v>0.73757480238801754</v>
      </c>
      <c r="O132" s="35"/>
      <c r="P132" s="35">
        <f t="shared" si="87"/>
        <v>5.5199362173076846E-5</v>
      </c>
      <c r="Q132" s="35">
        <f t="shared" si="88"/>
        <v>7.4296273239696786E-3</v>
      </c>
      <c r="BS132">
        <f t="shared" si="100"/>
        <v>22</v>
      </c>
      <c r="BT132" s="19">
        <f t="shared" si="103"/>
        <v>8.5500000000000007</v>
      </c>
      <c r="BU132" s="19">
        <f t="shared" si="106"/>
        <v>0.73014517506404786</v>
      </c>
    </row>
    <row r="133" spans="1:73" x14ac:dyDescent="0.25">
      <c r="A133" s="276"/>
      <c r="B133" s="30">
        <f t="shared" si="104"/>
        <v>23</v>
      </c>
      <c r="C133" s="68">
        <f t="shared" si="105"/>
        <v>0.77540563620836889</v>
      </c>
      <c r="E133" s="31">
        <f t="shared" si="101"/>
        <v>10.632530120481928</v>
      </c>
      <c r="F133" s="31">
        <f t="shared" si="102"/>
        <v>-4.3631330403355428E-2</v>
      </c>
      <c r="H133" s="31">
        <f t="shared" si="84"/>
        <v>-0.46391143471037549</v>
      </c>
      <c r="I133" s="31">
        <f t="shared" si="85"/>
        <v>113.05069676295544</v>
      </c>
      <c r="J133" s="31">
        <f t="shared" si="86"/>
        <v>1.9036929927667677E-3</v>
      </c>
      <c r="K133" s="31"/>
      <c r="L133" s="74">
        <f t="shared" si="91"/>
        <v>23</v>
      </c>
      <c r="M133" s="31">
        <f t="shared" si="92"/>
        <v>0.77540563620836889</v>
      </c>
      <c r="N133" s="35">
        <f t="shared" si="93"/>
        <v>0.72911781723408675</v>
      </c>
      <c r="O133" s="35"/>
      <c r="P133" s="35">
        <f t="shared" si="87"/>
        <v>2.1425621853959132E-3</v>
      </c>
      <c r="Q133" s="35">
        <f t="shared" si="88"/>
        <v>-4.6287818974282136E-2</v>
      </c>
      <c r="BS133">
        <f t="shared" si="100"/>
        <v>23</v>
      </c>
      <c r="BT133" s="19">
        <f t="shared" si="103"/>
        <v>9.08</v>
      </c>
      <c r="BU133" s="19">
        <f t="shared" si="106"/>
        <v>0.77540563620836889</v>
      </c>
    </row>
    <row r="134" spans="1:73" x14ac:dyDescent="0.25">
      <c r="A134" s="276"/>
      <c r="B134" s="30">
        <f t="shared" si="104"/>
        <v>24</v>
      </c>
      <c r="C134" s="68">
        <f t="shared" si="105"/>
        <v>0.89239965841161384</v>
      </c>
      <c r="E134" s="31">
        <f t="shared" si="101"/>
        <v>11.632530120481928</v>
      </c>
      <c r="F134" s="31">
        <f t="shared" si="102"/>
        <v>7.3362691799889523E-2</v>
      </c>
      <c r="H134" s="31">
        <f t="shared" si="84"/>
        <v>0.85339372208184738</v>
      </c>
      <c r="I134" s="31">
        <f t="shared" si="85"/>
        <v>135.31575700391929</v>
      </c>
      <c r="J134" s="31">
        <f t="shared" si="86"/>
        <v>5.3820845481255776E-3</v>
      </c>
      <c r="K134" s="31"/>
      <c r="L134" s="74">
        <f t="shared" si="91"/>
        <v>24</v>
      </c>
      <c r="M134" s="31">
        <f t="shared" si="92"/>
        <v>0.89239965841161384</v>
      </c>
      <c r="N134" s="35">
        <f t="shared" si="93"/>
        <v>0.72066083208015597</v>
      </c>
      <c r="O134" s="35"/>
      <c r="P134" s="35">
        <f t="shared" si="87"/>
        <v>2.9494224469706648E-2</v>
      </c>
      <c r="Q134" s="35">
        <f t="shared" si="88"/>
        <v>-0.17173882633145787</v>
      </c>
      <c r="BS134">
        <f t="shared" si="100"/>
        <v>24</v>
      </c>
      <c r="BT134" s="19">
        <f t="shared" si="103"/>
        <v>10.45</v>
      </c>
      <c r="BU134" s="19">
        <f t="shared" si="106"/>
        <v>0.89239965841161384</v>
      </c>
    </row>
    <row r="135" spans="1:73" x14ac:dyDescent="0.25">
      <c r="A135" s="276" t="s">
        <v>19</v>
      </c>
      <c r="B135" s="32">
        <f>AC15</f>
        <v>1</v>
      </c>
      <c r="C135" s="69">
        <f>AI15</f>
        <v>1</v>
      </c>
      <c r="E135" s="31">
        <f t="shared" si="101"/>
        <v>-11.367469879518072</v>
      </c>
      <c r="F135" s="31">
        <f t="shared" si="102"/>
        <v>0.18096303338827568</v>
      </c>
      <c r="H135" s="31">
        <f t="shared" si="84"/>
        <v>-2.0570918313474471</v>
      </c>
      <c r="I135" s="31">
        <f t="shared" si="85"/>
        <v>129.21937146175063</v>
      </c>
      <c r="J135" s="31">
        <f t="shared" si="86"/>
        <v>3.2747619453086178E-2</v>
      </c>
      <c r="K135" s="31"/>
      <c r="L135" s="74">
        <f t="shared" si="91"/>
        <v>1</v>
      </c>
      <c r="M135" s="31">
        <f t="shared" si="92"/>
        <v>1</v>
      </c>
      <c r="N135" s="35">
        <f t="shared" si="93"/>
        <v>0.91517149062056402</v>
      </c>
      <c r="O135" s="35"/>
      <c r="P135" s="35">
        <f t="shared" si="87"/>
        <v>7.1958760035370582E-3</v>
      </c>
      <c r="Q135" s="35">
        <f t="shared" si="88"/>
        <v>-8.4828509379435979E-2</v>
      </c>
      <c r="BS135">
        <f t="shared" si="100"/>
        <v>1</v>
      </c>
      <c r="BT135" s="19">
        <f t="shared" ref="BT135:BT158" si="107">Y15</f>
        <v>11.38</v>
      </c>
      <c r="BU135" s="19">
        <f>AI15</f>
        <v>1</v>
      </c>
    </row>
    <row r="136" spans="1:73" x14ac:dyDescent="0.25">
      <c r="A136" s="276"/>
      <c r="B136" s="32">
        <f t="shared" ref="B136:B158" si="108">AC16</f>
        <v>2</v>
      </c>
      <c r="C136" s="69">
        <f t="shared" ref="C136:C158" si="109">AI16</f>
        <v>0.92794376098418274</v>
      </c>
      <c r="E136" s="31">
        <f t="shared" si="101"/>
        <v>-10.367469879518072</v>
      </c>
      <c r="F136" s="31">
        <f t="shared" si="102"/>
        <v>0.10890679437245843</v>
      </c>
      <c r="H136" s="31">
        <f t="shared" si="84"/>
        <v>-1.1290879103313312</v>
      </c>
      <c r="I136" s="31">
        <f t="shared" si="85"/>
        <v>107.48443170271447</v>
      </c>
      <c r="J136" s="31">
        <f t="shared" si="86"/>
        <v>1.1860689860484943E-2</v>
      </c>
      <c r="K136" s="31"/>
      <c r="L136" s="74">
        <f t="shared" si="91"/>
        <v>2</v>
      </c>
      <c r="M136" s="31">
        <f t="shared" si="92"/>
        <v>0.92794376098418274</v>
      </c>
      <c r="N136" s="35">
        <f t="shared" si="93"/>
        <v>0.90671450546663324</v>
      </c>
      <c r="O136" s="35"/>
      <c r="P136" s="35">
        <f t="shared" si="87"/>
        <v>4.5068128982940611E-4</v>
      </c>
      <c r="Q136" s="35">
        <f t="shared" si="88"/>
        <v>-2.1229255517549506E-2</v>
      </c>
      <c r="BS136">
        <f t="shared" si="100"/>
        <v>2</v>
      </c>
      <c r="BT136" s="19">
        <f t="shared" si="107"/>
        <v>10.56</v>
      </c>
      <c r="BU136" s="19">
        <f t="shared" ref="BU136:BU158" si="110">AI16</f>
        <v>0.92794376098418274</v>
      </c>
    </row>
    <row r="137" spans="1:73" x14ac:dyDescent="0.25">
      <c r="A137" s="276"/>
      <c r="B137" s="32">
        <f t="shared" si="108"/>
        <v>3</v>
      </c>
      <c r="C137" s="69">
        <f t="shared" si="109"/>
        <v>0.90509666080843587</v>
      </c>
      <c r="E137" s="31">
        <f t="shared" si="101"/>
        <v>-9.3674698795180724</v>
      </c>
      <c r="F137" s="31">
        <f t="shared" si="102"/>
        <v>8.6059694196711556E-2</v>
      </c>
      <c r="H137" s="31">
        <f t="shared" si="84"/>
        <v>-0.80616159322823178</v>
      </c>
      <c r="I137" s="31">
        <f t="shared" si="85"/>
        <v>87.749491943678336</v>
      </c>
      <c r="J137" s="31">
        <f t="shared" si="86"/>
        <v>7.4062709652315088E-3</v>
      </c>
      <c r="K137" s="31"/>
      <c r="L137" s="74">
        <f t="shared" si="91"/>
        <v>3</v>
      </c>
      <c r="M137" s="31">
        <f t="shared" si="92"/>
        <v>0.90509666080843587</v>
      </c>
      <c r="N137" s="35">
        <f t="shared" si="93"/>
        <v>0.89825752031270245</v>
      </c>
      <c r="O137" s="35"/>
      <c r="P137" s="35">
        <f t="shared" si="87"/>
        <v>4.677384272038077E-5</v>
      </c>
      <c r="Q137" s="35">
        <f t="shared" si="88"/>
        <v>-6.8391404957334201E-3</v>
      </c>
      <c r="BS137">
        <f t="shared" si="100"/>
        <v>3</v>
      </c>
      <c r="BT137" s="19">
        <f t="shared" si="107"/>
        <v>10.3</v>
      </c>
      <c r="BU137" s="19">
        <f t="shared" si="110"/>
        <v>0.90509666080843587</v>
      </c>
    </row>
    <row r="138" spans="1:73" x14ac:dyDescent="0.25">
      <c r="A138" s="276"/>
      <c r="B138" s="32">
        <f t="shared" si="108"/>
        <v>4</v>
      </c>
      <c r="C138" s="69">
        <f t="shared" si="109"/>
        <v>0.85325131810193322</v>
      </c>
      <c r="E138" s="31">
        <f t="shared" si="101"/>
        <v>-8.3674698795180724</v>
      </c>
      <c r="F138" s="31">
        <f t="shared" si="102"/>
        <v>3.4214351490208905E-2</v>
      </c>
      <c r="H138" s="31">
        <f t="shared" si="84"/>
        <v>-0.28628755554156726</v>
      </c>
      <c r="I138" s="31">
        <f t="shared" si="85"/>
        <v>70.014552184642184</v>
      </c>
      <c r="J138" s="31">
        <f t="shared" si="86"/>
        <v>1.1706218478955603E-3</v>
      </c>
      <c r="K138" s="31"/>
      <c r="L138" s="74">
        <f t="shared" si="91"/>
        <v>4</v>
      </c>
      <c r="M138" s="31">
        <f t="shared" si="92"/>
        <v>0.85325131810193322</v>
      </c>
      <c r="N138" s="35">
        <f t="shared" si="93"/>
        <v>0.88980053515877167</v>
      </c>
      <c r="O138" s="35"/>
      <c r="P138" s="35">
        <f t="shared" si="87"/>
        <v>1.3358452674678903E-3</v>
      </c>
      <c r="Q138" s="35">
        <f t="shared" si="88"/>
        <v>3.6549217056838446E-2</v>
      </c>
      <c r="BS138">
        <f t="shared" si="100"/>
        <v>4</v>
      </c>
      <c r="BT138" s="19">
        <f t="shared" si="107"/>
        <v>9.7100000000000009</v>
      </c>
      <c r="BU138" s="19">
        <f t="shared" si="110"/>
        <v>0.85325131810193322</v>
      </c>
    </row>
    <row r="139" spans="1:73" x14ac:dyDescent="0.25">
      <c r="A139" s="276"/>
      <c r="B139" s="32">
        <f t="shared" si="108"/>
        <v>5</v>
      </c>
      <c r="C139" s="69">
        <f t="shared" si="109"/>
        <v>0.89279437609841827</v>
      </c>
      <c r="E139" s="31">
        <f t="shared" si="101"/>
        <v>-7.3674698795180724</v>
      </c>
      <c r="F139" s="31">
        <f t="shared" si="102"/>
        <v>7.3757409486693959E-2</v>
      </c>
      <c r="H139" s="31">
        <f t="shared" si="84"/>
        <v>-0.54340549278449823</v>
      </c>
      <c r="I139" s="31">
        <f t="shared" si="85"/>
        <v>54.279612425606039</v>
      </c>
      <c r="J139" s="31">
        <f t="shared" si="86"/>
        <v>5.4401554541878517E-3</v>
      </c>
      <c r="K139" s="31"/>
      <c r="L139" s="74">
        <f t="shared" si="91"/>
        <v>5</v>
      </c>
      <c r="M139" s="31">
        <f t="shared" si="92"/>
        <v>0.89279437609841827</v>
      </c>
      <c r="N139" s="35">
        <f t="shared" si="93"/>
        <v>0.88134355000484088</v>
      </c>
      <c r="O139" s="35"/>
      <c r="P139" s="35">
        <f t="shared" si="87"/>
        <v>1.3112141822535289E-4</v>
      </c>
      <c r="Q139" s="35">
        <f t="shared" si="88"/>
        <v>-1.1450826093577393E-2</v>
      </c>
      <c r="BS139">
        <f t="shared" si="100"/>
        <v>5</v>
      </c>
      <c r="BT139" s="19">
        <f t="shared" si="107"/>
        <v>10.16</v>
      </c>
      <c r="BU139" s="19">
        <f t="shared" si="110"/>
        <v>0.89279437609841827</v>
      </c>
    </row>
    <row r="140" spans="1:73" x14ac:dyDescent="0.25">
      <c r="A140" s="276"/>
      <c r="B140" s="32">
        <f t="shared" si="108"/>
        <v>6</v>
      </c>
      <c r="C140" s="69">
        <f t="shared" si="109"/>
        <v>0.8717047451669595</v>
      </c>
      <c r="E140" s="31">
        <f t="shared" si="101"/>
        <v>-6.3674698795180724</v>
      </c>
      <c r="F140" s="31">
        <f t="shared" si="102"/>
        <v>5.266777855523519E-2</v>
      </c>
      <c r="H140" s="31">
        <f t="shared" si="84"/>
        <v>-0.33536049357158793</v>
      </c>
      <c r="I140" s="31">
        <f t="shared" si="85"/>
        <v>40.544672666569895</v>
      </c>
      <c r="J140" s="31">
        <f t="shared" si="86"/>
        <v>2.7738948979432916E-3</v>
      </c>
      <c r="K140" s="31"/>
      <c r="L140" s="74">
        <f t="shared" si="91"/>
        <v>6</v>
      </c>
      <c r="M140" s="31">
        <f t="shared" si="92"/>
        <v>0.8717047451669595</v>
      </c>
      <c r="N140" s="35">
        <f t="shared" si="93"/>
        <v>0.8728865648509101</v>
      </c>
      <c r="O140" s="35"/>
      <c r="P140" s="35">
        <f t="shared" si="87"/>
        <v>1.3966977653730754E-6</v>
      </c>
      <c r="Q140" s="35">
        <f t="shared" si="88"/>
        <v>1.1818196839505912E-3</v>
      </c>
      <c r="BS140">
        <f t="shared" si="100"/>
        <v>6</v>
      </c>
      <c r="BT140" s="19">
        <f t="shared" si="107"/>
        <v>9.92</v>
      </c>
      <c r="BU140" s="19">
        <f t="shared" si="110"/>
        <v>0.8717047451669595</v>
      </c>
    </row>
    <row r="141" spans="1:73" x14ac:dyDescent="0.25">
      <c r="A141" s="276"/>
      <c r="B141" s="32">
        <f t="shared" si="108"/>
        <v>7</v>
      </c>
      <c r="C141" s="69">
        <f t="shared" si="109"/>
        <v>0.86379613356766249</v>
      </c>
      <c r="E141" s="31">
        <f t="shared" si="101"/>
        <v>-5.3674698795180724</v>
      </c>
      <c r="F141" s="31">
        <f t="shared" si="102"/>
        <v>4.4759166955938179E-2</v>
      </c>
      <c r="H141" s="31">
        <f t="shared" si="84"/>
        <v>-0.24024348046831878</v>
      </c>
      <c r="I141" s="31">
        <f t="shared" si="85"/>
        <v>28.80973290753375</v>
      </c>
      <c r="J141" s="31">
        <f t="shared" si="86"/>
        <v>2.0033830265895483E-3</v>
      </c>
      <c r="K141" s="31"/>
      <c r="L141" s="74">
        <f t="shared" si="91"/>
        <v>7</v>
      </c>
      <c r="M141" s="31">
        <f t="shared" si="92"/>
        <v>0.86379613356766249</v>
      </c>
      <c r="N141" s="35">
        <f t="shared" si="93"/>
        <v>0.86442957969697931</v>
      </c>
      <c r="O141" s="35"/>
      <c r="P141" s="35">
        <f t="shared" si="87"/>
        <v>4.0125399874645765E-7</v>
      </c>
      <c r="Q141" s="35">
        <f t="shared" si="88"/>
        <v>6.3344612931681699E-4</v>
      </c>
      <c r="BS141">
        <f t="shared" si="100"/>
        <v>7</v>
      </c>
      <c r="BT141" s="19">
        <f t="shared" si="107"/>
        <v>9.83</v>
      </c>
      <c r="BU141" s="19">
        <f t="shared" si="110"/>
        <v>0.86379613356766249</v>
      </c>
    </row>
    <row r="142" spans="1:73" x14ac:dyDescent="0.25">
      <c r="A142" s="276"/>
      <c r="B142" s="32">
        <f t="shared" si="108"/>
        <v>8</v>
      </c>
      <c r="C142" s="69">
        <f t="shared" si="109"/>
        <v>0.95606326889279436</v>
      </c>
      <c r="E142" s="31">
        <f t="shared" si="101"/>
        <v>-4.3674698795180724</v>
      </c>
      <c r="F142" s="31">
        <f t="shared" si="102"/>
        <v>0.13702630228107004</v>
      </c>
      <c r="H142" s="31">
        <f t="shared" si="84"/>
        <v>-0.59845824791431201</v>
      </c>
      <c r="I142" s="31">
        <f t="shared" si="85"/>
        <v>19.074793148497605</v>
      </c>
      <c r="J142" s="31">
        <f t="shared" si="86"/>
        <v>1.8776207516823181E-2</v>
      </c>
      <c r="K142" s="31"/>
      <c r="L142" s="74">
        <f t="shared" si="91"/>
        <v>8</v>
      </c>
      <c r="M142" s="31">
        <f t="shared" si="92"/>
        <v>0.95606326889279436</v>
      </c>
      <c r="N142" s="35">
        <f t="shared" si="93"/>
        <v>0.85597259454304853</v>
      </c>
      <c r="O142" s="35"/>
      <c r="P142" s="35">
        <f t="shared" si="87"/>
        <v>1.0018143091786868E-2</v>
      </c>
      <c r="Q142" s="35">
        <f t="shared" si="88"/>
        <v>-0.10009067434974583</v>
      </c>
      <c r="BS142">
        <f t="shared" si="100"/>
        <v>8</v>
      </c>
      <c r="BT142" s="19">
        <f t="shared" si="107"/>
        <v>10.88</v>
      </c>
      <c r="BU142" s="19">
        <f t="shared" si="110"/>
        <v>0.95606326889279436</v>
      </c>
    </row>
    <row r="143" spans="1:73" x14ac:dyDescent="0.25">
      <c r="A143" s="276"/>
      <c r="B143" s="32">
        <f t="shared" si="108"/>
        <v>9</v>
      </c>
      <c r="C143" s="69">
        <f t="shared" si="109"/>
        <v>0.7926186291739894</v>
      </c>
      <c r="E143" s="31">
        <f t="shared" ref="E143:E174" si="111">B143-$B$11</f>
        <v>-3.3674698795180724</v>
      </c>
      <c r="F143" s="31">
        <f t="shared" ref="F143:F174" si="112">C143-$C$11</f>
        <v>-2.6418337437734918E-2</v>
      </c>
      <c r="H143" s="31">
        <f t="shared" si="84"/>
        <v>8.8962955588516981E-2</v>
      </c>
      <c r="I143" s="31">
        <f t="shared" si="85"/>
        <v>11.339853389461462</v>
      </c>
      <c r="J143" s="31">
        <f t="shared" si="86"/>
        <v>6.9792855297402638E-4</v>
      </c>
      <c r="K143" s="31"/>
      <c r="L143" s="74">
        <f t="shared" si="91"/>
        <v>9</v>
      </c>
      <c r="M143" s="31">
        <f t="shared" si="92"/>
        <v>0.7926186291739894</v>
      </c>
      <c r="N143" s="35">
        <f t="shared" si="93"/>
        <v>0.84751560938911774</v>
      </c>
      <c r="O143" s="35"/>
      <c r="P143" s="35">
        <f t="shared" si="87"/>
        <v>3.0136784367401927E-3</v>
      </c>
      <c r="Q143" s="35">
        <f t="shared" si="88"/>
        <v>5.4896980215128344E-2</v>
      </c>
      <c r="BS143">
        <f t="shared" si="100"/>
        <v>9</v>
      </c>
      <c r="BT143" s="19">
        <f t="shared" si="107"/>
        <v>9.02</v>
      </c>
      <c r="BU143" s="19">
        <f t="shared" si="110"/>
        <v>0.7926186291739894</v>
      </c>
    </row>
    <row r="144" spans="1:73" x14ac:dyDescent="0.25">
      <c r="A144" s="276"/>
      <c r="B144" s="32">
        <f t="shared" si="108"/>
        <v>10</v>
      </c>
      <c r="C144" s="69">
        <f t="shared" si="109"/>
        <v>0.8514938488576449</v>
      </c>
      <c r="E144" s="31">
        <f t="shared" si="111"/>
        <v>-2.3674698795180724</v>
      </c>
      <c r="F144" s="31">
        <f t="shared" si="112"/>
        <v>3.2456882245920582E-2</v>
      </c>
      <c r="H144" s="31">
        <f t="shared" ref="H144:H180" si="113">E144*F144</f>
        <v>-7.6840691100281869E-2</v>
      </c>
      <c r="I144" s="31">
        <f t="shared" ref="I144:I180" si="114">E144*E144</f>
        <v>5.6049136304253162</v>
      </c>
      <c r="J144" s="31">
        <f t="shared" ref="J144:J180" si="115">F144*F144</f>
        <v>1.0534492051255547E-3</v>
      </c>
      <c r="K144" s="31"/>
      <c r="L144" s="74">
        <f t="shared" si="91"/>
        <v>10</v>
      </c>
      <c r="M144" s="31">
        <f t="shared" si="92"/>
        <v>0.8514938488576449</v>
      </c>
      <c r="N144" s="35">
        <f t="shared" si="93"/>
        <v>0.83905862423518696</v>
      </c>
      <c r="O144" s="35"/>
      <c r="P144" s="35">
        <f t="shared" ref="P144:P180" si="116">(M144-N144)^2</f>
        <v>1.5463481141098423E-4</v>
      </c>
      <c r="Q144" s="35">
        <f t="shared" ref="Q144:Q180" si="117">N144-M144</f>
        <v>-1.2435224622457941E-2</v>
      </c>
      <c r="BS144">
        <f t="shared" si="100"/>
        <v>10</v>
      </c>
      <c r="BT144" s="19">
        <f t="shared" si="107"/>
        <v>9.69</v>
      </c>
      <c r="BU144" s="19">
        <f t="shared" si="110"/>
        <v>0.8514938488576449</v>
      </c>
    </row>
    <row r="145" spans="1:73" x14ac:dyDescent="0.25">
      <c r="A145" s="276"/>
      <c r="B145" s="32">
        <f t="shared" si="108"/>
        <v>11</v>
      </c>
      <c r="C145" s="69">
        <f t="shared" si="109"/>
        <v>0.81634446397188032</v>
      </c>
      <c r="E145" s="31">
        <f t="shared" si="111"/>
        <v>-1.3674698795180724</v>
      </c>
      <c r="F145" s="31">
        <f t="shared" si="112"/>
        <v>-2.6925026398439966E-3</v>
      </c>
      <c r="H145" s="31">
        <f t="shared" si="113"/>
        <v>3.6819162605095622E-3</v>
      </c>
      <c r="I145" s="31">
        <f t="shared" si="114"/>
        <v>1.8699738713891716</v>
      </c>
      <c r="J145" s="31">
        <f t="shared" si="115"/>
        <v>7.2495704655668903E-6</v>
      </c>
      <c r="K145" s="31"/>
      <c r="L145" s="74">
        <f t="shared" si="91"/>
        <v>11</v>
      </c>
      <c r="M145" s="31">
        <f t="shared" si="92"/>
        <v>0.81634446397188032</v>
      </c>
      <c r="N145" s="35">
        <f t="shared" si="93"/>
        <v>0.83060163908125617</v>
      </c>
      <c r="O145" s="35"/>
      <c r="P145" s="35">
        <f t="shared" si="116"/>
        <v>2.0326704209940635E-4</v>
      </c>
      <c r="Q145" s="35">
        <f t="shared" si="117"/>
        <v>1.4257175109375853E-2</v>
      </c>
      <c r="BS145">
        <f t="shared" si="100"/>
        <v>11</v>
      </c>
      <c r="BT145" s="19">
        <f t="shared" si="107"/>
        <v>9.2899999999999991</v>
      </c>
      <c r="BU145" s="19">
        <f t="shared" si="110"/>
        <v>0.81634446397188032</v>
      </c>
    </row>
    <row r="146" spans="1:73" x14ac:dyDescent="0.25">
      <c r="A146" s="276"/>
      <c r="B146" s="32">
        <f t="shared" si="108"/>
        <v>12</v>
      </c>
      <c r="C146" s="69">
        <f t="shared" si="109"/>
        <v>0.82952548330404208</v>
      </c>
      <c r="E146" s="31">
        <f t="shared" si="111"/>
        <v>-0.36746987951807242</v>
      </c>
      <c r="F146" s="31">
        <f t="shared" si="112"/>
        <v>1.0488516692317762E-2</v>
      </c>
      <c r="H146" s="31">
        <f t="shared" si="113"/>
        <v>-3.8542139652492993E-3</v>
      </c>
      <c r="I146" s="31">
        <f t="shared" si="114"/>
        <v>0.13503411235302665</v>
      </c>
      <c r="J146" s="31">
        <f t="shared" si="115"/>
        <v>1.1000898240502832E-4</v>
      </c>
      <c r="K146" s="31"/>
      <c r="L146" s="74">
        <f t="shared" si="91"/>
        <v>12</v>
      </c>
      <c r="M146" s="31">
        <f t="shared" si="92"/>
        <v>0.82952548330404208</v>
      </c>
      <c r="N146" s="35">
        <f t="shared" si="93"/>
        <v>0.82214465392732539</v>
      </c>
      <c r="O146" s="35"/>
      <c r="P146" s="35">
        <f t="shared" si="116"/>
        <v>5.44766422882041E-5</v>
      </c>
      <c r="Q146" s="35">
        <f t="shared" si="117"/>
        <v>-7.380829376716691E-3</v>
      </c>
      <c r="BS146">
        <f t="shared" si="100"/>
        <v>12</v>
      </c>
      <c r="BT146" s="19">
        <f t="shared" si="107"/>
        <v>9.44</v>
      </c>
      <c r="BU146" s="19">
        <f t="shared" si="110"/>
        <v>0.82952548330404208</v>
      </c>
    </row>
    <row r="147" spans="1:73" x14ac:dyDescent="0.25">
      <c r="A147" s="276"/>
      <c r="B147" s="32">
        <f t="shared" si="108"/>
        <v>13</v>
      </c>
      <c r="C147" s="69">
        <f t="shared" si="109"/>
        <v>0.86731107205623892</v>
      </c>
      <c r="E147" s="31">
        <f t="shared" si="111"/>
        <v>0.63253012048192758</v>
      </c>
      <c r="F147" s="31">
        <f t="shared" si="112"/>
        <v>4.8274105444514603E-2</v>
      </c>
      <c r="H147" s="31">
        <f t="shared" si="113"/>
        <v>3.0534825732976098E-2</v>
      </c>
      <c r="I147" s="31">
        <f t="shared" si="114"/>
        <v>0.40009435331688181</v>
      </c>
      <c r="J147" s="31">
        <f t="shared" si="115"/>
        <v>2.3303892564681145E-3</v>
      </c>
      <c r="K147" s="31"/>
      <c r="L147" s="74">
        <f t="shared" si="91"/>
        <v>13</v>
      </c>
      <c r="M147" s="31">
        <f t="shared" si="92"/>
        <v>0.86731107205623892</v>
      </c>
      <c r="N147" s="35">
        <f t="shared" si="93"/>
        <v>0.8136876687733946</v>
      </c>
      <c r="O147" s="35"/>
      <c r="P147" s="35">
        <f t="shared" si="116"/>
        <v>2.8754693796345589E-3</v>
      </c>
      <c r="Q147" s="35">
        <f t="shared" si="117"/>
        <v>-5.3623403282844317E-2</v>
      </c>
      <c r="BS147">
        <f t="shared" si="100"/>
        <v>13</v>
      </c>
      <c r="BT147" s="19">
        <f t="shared" si="107"/>
        <v>9.8699999999999992</v>
      </c>
      <c r="BU147" s="19">
        <f t="shared" si="110"/>
        <v>0.86731107205623892</v>
      </c>
    </row>
    <row r="148" spans="1:73" x14ac:dyDescent="0.25">
      <c r="A148" s="276"/>
      <c r="B148" s="32">
        <f t="shared" si="108"/>
        <v>14</v>
      </c>
      <c r="C148" s="69">
        <f t="shared" si="109"/>
        <v>0.85852372583479775</v>
      </c>
      <c r="E148" s="31">
        <f t="shared" si="111"/>
        <v>1.6325301204819276</v>
      </c>
      <c r="F148" s="31">
        <f t="shared" si="112"/>
        <v>3.9486759223073431E-2</v>
      </c>
      <c r="H148" s="31">
        <f t="shared" si="113"/>
        <v>6.4463323791884936E-2</v>
      </c>
      <c r="I148" s="31">
        <f t="shared" si="114"/>
        <v>2.6651545942807369</v>
      </c>
      <c r="J148" s="31">
        <f t="shared" si="115"/>
        <v>1.5592041539409746E-3</v>
      </c>
      <c r="K148" s="31"/>
      <c r="L148" s="74">
        <f t="shared" si="91"/>
        <v>14</v>
      </c>
      <c r="M148" s="31">
        <f t="shared" si="92"/>
        <v>0.85852372583479775</v>
      </c>
      <c r="N148" s="35">
        <f t="shared" si="93"/>
        <v>0.80523068361946382</v>
      </c>
      <c r="O148" s="35"/>
      <c r="P148" s="35">
        <f t="shared" si="116"/>
        <v>2.8401483485653643E-3</v>
      </c>
      <c r="Q148" s="35">
        <f t="shared" si="117"/>
        <v>-5.329304221533393E-2</v>
      </c>
      <c r="BS148">
        <f t="shared" si="100"/>
        <v>14</v>
      </c>
      <c r="BT148" s="19">
        <f t="shared" si="107"/>
        <v>9.77</v>
      </c>
      <c r="BU148" s="19">
        <f t="shared" si="110"/>
        <v>0.85852372583479775</v>
      </c>
    </row>
    <row r="149" spans="1:73" x14ac:dyDescent="0.25">
      <c r="A149" s="276"/>
      <c r="B149" s="32">
        <f t="shared" si="108"/>
        <v>15</v>
      </c>
      <c r="C149" s="69">
        <f t="shared" si="109"/>
        <v>0.77328646748681895</v>
      </c>
      <c r="E149" s="31">
        <f t="shared" si="111"/>
        <v>2.6325301204819276</v>
      </c>
      <c r="F149" s="31">
        <f t="shared" si="112"/>
        <v>-4.5750499124905364E-2</v>
      </c>
      <c r="H149" s="31">
        <f t="shared" si="113"/>
        <v>-0.12043956697339545</v>
      </c>
      <c r="I149" s="31">
        <f t="shared" si="114"/>
        <v>6.930214835244592</v>
      </c>
      <c r="J149" s="31">
        <f t="shared" si="115"/>
        <v>2.0931081701779665E-3</v>
      </c>
      <c r="K149" s="31"/>
      <c r="L149" s="74">
        <f t="shared" si="91"/>
        <v>15</v>
      </c>
      <c r="M149" s="31">
        <f t="shared" si="92"/>
        <v>0.77328646748681895</v>
      </c>
      <c r="N149" s="35">
        <f t="shared" si="93"/>
        <v>0.79677369846553303</v>
      </c>
      <c r="O149" s="35"/>
      <c r="P149" s="35">
        <f t="shared" si="116"/>
        <v>5.516500190474664E-4</v>
      </c>
      <c r="Q149" s="35">
        <f t="shared" si="117"/>
        <v>2.348723097871408E-2</v>
      </c>
      <c r="BS149">
        <f t="shared" si="100"/>
        <v>15</v>
      </c>
      <c r="BT149" s="19">
        <f t="shared" si="107"/>
        <v>8.8000000000000007</v>
      </c>
      <c r="BU149" s="19">
        <f t="shared" si="110"/>
        <v>0.77328646748681895</v>
      </c>
    </row>
    <row r="150" spans="1:73" x14ac:dyDescent="0.25">
      <c r="A150" s="276"/>
      <c r="B150" s="32">
        <f t="shared" si="108"/>
        <v>16</v>
      </c>
      <c r="C150" s="69">
        <f t="shared" si="109"/>
        <v>0.8189806678383128</v>
      </c>
      <c r="E150" s="31">
        <f t="shared" si="111"/>
        <v>3.6325301204819276</v>
      </c>
      <c r="F150" s="31">
        <f t="shared" si="112"/>
        <v>-5.6298773411511682E-5</v>
      </c>
      <c r="H150" s="31">
        <f t="shared" si="113"/>
        <v>-2.0450699016350327E-4</v>
      </c>
      <c r="I150" s="31">
        <f t="shared" si="114"/>
        <v>13.195275076208448</v>
      </c>
      <c r="J150" s="31">
        <f t="shared" si="115"/>
        <v>3.1695518876407349E-9</v>
      </c>
      <c r="K150" s="31"/>
      <c r="L150" s="74">
        <f t="shared" ref="L150:L180" si="118">B150</f>
        <v>16</v>
      </c>
      <c r="M150" s="31">
        <f t="shared" ref="M150:M180" si="119">C150</f>
        <v>0.8189806678383128</v>
      </c>
      <c r="N150" s="35">
        <f t="shared" ref="N150:N180" si="120">$B$8+$B$7*L150</f>
        <v>0.78831671331160225</v>
      </c>
      <c r="O150" s="35"/>
      <c r="P150" s="35">
        <f t="shared" si="116"/>
        <v>9.4027810721617291E-4</v>
      </c>
      <c r="Q150" s="35">
        <f t="shared" si="117"/>
        <v>-3.0663954526710557E-2</v>
      </c>
      <c r="BS150">
        <f t="shared" si="100"/>
        <v>16</v>
      </c>
      <c r="BT150" s="19">
        <f t="shared" si="107"/>
        <v>9.32</v>
      </c>
      <c r="BU150" s="19">
        <f t="shared" si="110"/>
        <v>0.8189806678383128</v>
      </c>
    </row>
    <row r="151" spans="1:73" x14ac:dyDescent="0.25">
      <c r="A151" s="276"/>
      <c r="B151" s="32">
        <f t="shared" si="108"/>
        <v>17</v>
      </c>
      <c r="C151" s="69">
        <f t="shared" si="109"/>
        <v>0.84446397188049194</v>
      </c>
      <c r="E151" s="31">
        <f t="shared" si="111"/>
        <v>4.6325301204819276</v>
      </c>
      <c r="F151" s="31">
        <f t="shared" si="112"/>
        <v>2.5427005268767622E-2</v>
      </c>
      <c r="H151" s="31">
        <f t="shared" si="113"/>
        <v>0.11779136778121868</v>
      </c>
      <c r="I151" s="31">
        <f t="shared" si="114"/>
        <v>21.460335317172301</v>
      </c>
      <c r="J151" s="31">
        <f t="shared" si="115"/>
        <v>6.4653259693793637E-4</v>
      </c>
      <c r="K151" s="31"/>
      <c r="L151" s="74">
        <f t="shared" si="118"/>
        <v>17</v>
      </c>
      <c r="M151" s="31">
        <f t="shared" si="119"/>
        <v>0.84446397188049194</v>
      </c>
      <c r="N151" s="35">
        <f t="shared" si="120"/>
        <v>0.77985972815767146</v>
      </c>
      <c r="O151" s="35"/>
      <c r="P151" s="35">
        <f t="shared" si="116"/>
        <v>4.1737083069975887E-3</v>
      </c>
      <c r="Q151" s="35">
        <f t="shared" si="117"/>
        <v>-6.4604243722820476E-2</v>
      </c>
      <c r="BS151">
        <f t="shared" si="100"/>
        <v>17</v>
      </c>
      <c r="BT151" s="19">
        <f t="shared" si="107"/>
        <v>9.61</v>
      </c>
      <c r="BU151" s="19">
        <f t="shared" si="110"/>
        <v>0.84446397188049194</v>
      </c>
    </row>
    <row r="152" spans="1:73" x14ac:dyDescent="0.25">
      <c r="A152" s="276"/>
      <c r="B152" s="32">
        <f t="shared" si="108"/>
        <v>18</v>
      </c>
      <c r="C152" s="69">
        <f t="shared" si="109"/>
        <v>0.76537785588752194</v>
      </c>
      <c r="E152" s="31">
        <f t="shared" si="111"/>
        <v>5.6325301204819276</v>
      </c>
      <c r="F152" s="31">
        <f t="shared" si="112"/>
        <v>-5.3659110724202375E-2</v>
      </c>
      <c r="H152" s="31">
        <f t="shared" si="113"/>
        <v>-0.30223655739234467</v>
      </c>
      <c r="I152" s="31">
        <f t="shared" si="114"/>
        <v>31.725395558136157</v>
      </c>
      <c r="J152" s="31">
        <f t="shared" si="115"/>
        <v>2.8793001637122105E-3</v>
      </c>
      <c r="K152" s="31"/>
      <c r="L152" s="74">
        <f t="shared" si="118"/>
        <v>18</v>
      </c>
      <c r="M152" s="31">
        <f t="shared" si="119"/>
        <v>0.76537785588752194</v>
      </c>
      <c r="N152" s="35">
        <f t="shared" si="120"/>
        <v>0.77140274300374068</v>
      </c>
      <c r="O152" s="35"/>
      <c r="P152" s="35">
        <f t="shared" si="116"/>
        <v>3.629926476317851E-5</v>
      </c>
      <c r="Q152" s="35">
        <f t="shared" si="117"/>
        <v>6.0248871162187356E-3</v>
      </c>
      <c r="BS152">
        <f t="shared" si="100"/>
        <v>18</v>
      </c>
      <c r="BT152" s="19">
        <f t="shared" si="107"/>
        <v>8.7100000000000009</v>
      </c>
      <c r="BU152" s="19">
        <f t="shared" si="110"/>
        <v>0.76537785588752194</v>
      </c>
    </row>
    <row r="153" spans="1:73" x14ac:dyDescent="0.25">
      <c r="A153" s="276"/>
      <c r="B153" s="32">
        <f t="shared" si="108"/>
        <v>19</v>
      </c>
      <c r="C153" s="69">
        <f t="shared" si="109"/>
        <v>0.82864674868189803</v>
      </c>
      <c r="E153" s="31">
        <f t="shared" si="111"/>
        <v>6.6325301204819276</v>
      </c>
      <c r="F153" s="31">
        <f t="shared" si="112"/>
        <v>9.6097820701737113E-3</v>
      </c>
      <c r="H153" s="31">
        <f t="shared" si="113"/>
        <v>6.373716903169431E-2</v>
      </c>
      <c r="I153" s="31">
        <f t="shared" si="114"/>
        <v>43.990455799100012</v>
      </c>
      <c r="J153" s="31">
        <f t="shared" si="115"/>
        <v>9.234791143623214E-5</v>
      </c>
      <c r="K153" s="31"/>
      <c r="L153" s="74">
        <f t="shared" si="118"/>
        <v>19</v>
      </c>
      <c r="M153" s="31">
        <f t="shared" si="119"/>
        <v>0.82864674868189803</v>
      </c>
      <c r="N153" s="35">
        <f t="shared" si="120"/>
        <v>0.76294575784980989</v>
      </c>
      <c r="O153" s="35"/>
      <c r="P153" s="35">
        <f t="shared" si="116"/>
        <v>4.3166201963181295E-3</v>
      </c>
      <c r="Q153" s="35">
        <f t="shared" si="117"/>
        <v>-6.5700990832088135E-2</v>
      </c>
      <c r="BS153">
        <f t="shared" si="100"/>
        <v>19</v>
      </c>
      <c r="BT153" s="19">
        <f t="shared" si="107"/>
        <v>9.43</v>
      </c>
      <c r="BU153" s="19">
        <f t="shared" si="110"/>
        <v>0.82864674868189803</v>
      </c>
    </row>
    <row r="154" spans="1:73" x14ac:dyDescent="0.25">
      <c r="A154" s="276"/>
      <c r="B154" s="32">
        <f t="shared" si="108"/>
        <v>20</v>
      </c>
      <c r="C154" s="69">
        <f t="shared" si="109"/>
        <v>0.77768014059753943</v>
      </c>
      <c r="E154" s="31">
        <f t="shared" si="111"/>
        <v>7.6325301204819276</v>
      </c>
      <c r="F154" s="31">
        <f t="shared" si="112"/>
        <v>-4.1356826014184889E-2</v>
      </c>
      <c r="H154" s="31">
        <f t="shared" si="113"/>
        <v>-0.31565722024079673</v>
      </c>
      <c r="I154" s="31">
        <f t="shared" si="114"/>
        <v>58.255516040063867</v>
      </c>
      <c r="J154" s="31">
        <f t="shared" si="115"/>
        <v>1.7103870579675599E-3</v>
      </c>
      <c r="K154" s="31"/>
      <c r="L154" s="74">
        <f t="shared" si="118"/>
        <v>20</v>
      </c>
      <c r="M154" s="31">
        <f t="shared" si="119"/>
        <v>0.77768014059753943</v>
      </c>
      <c r="N154" s="35">
        <f t="shared" si="120"/>
        <v>0.75448877269587911</v>
      </c>
      <c r="O154" s="35"/>
      <c r="P154" s="35">
        <f t="shared" si="116"/>
        <v>5.3783954515016061E-4</v>
      </c>
      <c r="Q154" s="35">
        <f t="shared" si="117"/>
        <v>-2.319136790166032E-2</v>
      </c>
      <c r="BS154">
        <f t="shared" si="100"/>
        <v>20</v>
      </c>
      <c r="BT154" s="19">
        <f t="shared" si="107"/>
        <v>8.85</v>
      </c>
      <c r="BU154" s="19">
        <f t="shared" si="110"/>
        <v>0.77768014059753943</v>
      </c>
    </row>
    <row r="155" spans="1:73" x14ac:dyDescent="0.25">
      <c r="A155" s="276"/>
      <c r="B155" s="32">
        <f t="shared" si="108"/>
        <v>21</v>
      </c>
      <c r="C155" s="69">
        <f t="shared" si="109"/>
        <v>0.70298769771528991</v>
      </c>
      <c r="E155" s="31">
        <f t="shared" si="111"/>
        <v>8.6325301204819276</v>
      </c>
      <c r="F155" s="31">
        <f t="shared" si="112"/>
        <v>-0.11604926889643441</v>
      </c>
      <c r="H155" s="31">
        <f t="shared" si="113"/>
        <v>-1.0017988092083765</v>
      </c>
      <c r="I155" s="31">
        <f t="shared" si="114"/>
        <v>74.520576281027729</v>
      </c>
      <c r="J155" s="31">
        <f t="shared" si="115"/>
        <v>1.3467432811396939E-2</v>
      </c>
      <c r="K155" s="31"/>
      <c r="L155" s="74">
        <f t="shared" si="118"/>
        <v>21</v>
      </c>
      <c r="M155" s="31">
        <f t="shared" si="119"/>
        <v>0.70298769771528991</v>
      </c>
      <c r="N155" s="35">
        <f t="shared" si="120"/>
        <v>0.74603178754194832</v>
      </c>
      <c r="O155" s="35"/>
      <c r="P155" s="35">
        <f t="shared" si="116"/>
        <v>1.8527936690054387E-3</v>
      </c>
      <c r="Q155" s="35">
        <f t="shared" si="117"/>
        <v>4.3044089826658416E-2</v>
      </c>
      <c r="BS155">
        <f t="shared" si="100"/>
        <v>21</v>
      </c>
      <c r="BT155" s="19">
        <f t="shared" si="107"/>
        <v>8</v>
      </c>
      <c r="BU155" s="19">
        <f t="shared" si="110"/>
        <v>0.70298769771528991</v>
      </c>
    </row>
    <row r="156" spans="1:73" x14ac:dyDescent="0.25">
      <c r="A156" s="276"/>
      <c r="B156" s="32">
        <f t="shared" si="108"/>
        <v>22</v>
      </c>
      <c r="C156" s="69">
        <f t="shared" si="109"/>
        <v>0.75307557117750434</v>
      </c>
      <c r="E156" s="31">
        <f t="shared" si="111"/>
        <v>9.6325301204819276</v>
      </c>
      <c r="F156" s="31">
        <f t="shared" si="112"/>
        <v>-6.5961395434219972E-2</v>
      </c>
      <c r="H156" s="31">
        <f t="shared" si="113"/>
        <v>-0.635375128309143</v>
      </c>
      <c r="I156" s="31">
        <f t="shared" si="114"/>
        <v>92.785636521991577</v>
      </c>
      <c r="J156" s="31">
        <f t="shared" si="115"/>
        <v>4.3509056876295353E-3</v>
      </c>
      <c r="K156" s="31"/>
      <c r="L156" s="74">
        <f t="shared" si="118"/>
        <v>22</v>
      </c>
      <c r="M156" s="31">
        <f t="shared" si="119"/>
        <v>0.75307557117750434</v>
      </c>
      <c r="N156" s="35">
        <f t="shared" si="120"/>
        <v>0.73757480238801754</v>
      </c>
      <c r="O156" s="35"/>
      <c r="P156" s="35">
        <f t="shared" si="116"/>
        <v>2.402738330651283E-4</v>
      </c>
      <c r="Q156" s="35">
        <f t="shared" si="117"/>
        <v>-1.5500768789486807E-2</v>
      </c>
      <c r="BS156">
        <f t="shared" si="100"/>
        <v>22</v>
      </c>
      <c r="BT156" s="19">
        <f t="shared" si="107"/>
        <v>8.57</v>
      </c>
      <c r="BU156" s="19">
        <f t="shared" si="110"/>
        <v>0.75307557117750434</v>
      </c>
    </row>
    <row r="157" spans="1:73" x14ac:dyDescent="0.25">
      <c r="A157" s="276"/>
      <c r="B157" s="32">
        <f t="shared" si="108"/>
        <v>23</v>
      </c>
      <c r="C157" s="69">
        <f t="shared" si="109"/>
        <v>0.71441124780316345</v>
      </c>
      <c r="E157" s="31">
        <f t="shared" si="111"/>
        <v>10.632530120481928</v>
      </c>
      <c r="F157" s="31">
        <f t="shared" si="112"/>
        <v>-0.10462571880856086</v>
      </c>
      <c r="H157" s="31">
        <f t="shared" si="113"/>
        <v>-1.112436106609096</v>
      </c>
      <c r="I157" s="31">
        <f t="shared" si="114"/>
        <v>113.05069676295544</v>
      </c>
      <c r="J157" s="31">
        <f t="shared" si="115"/>
        <v>1.0946541036208046E-2</v>
      </c>
      <c r="K157" s="31"/>
      <c r="L157" s="74">
        <f t="shared" si="118"/>
        <v>23</v>
      </c>
      <c r="M157" s="31">
        <f t="shared" si="119"/>
        <v>0.71441124780316345</v>
      </c>
      <c r="N157" s="35">
        <f t="shared" si="120"/>
        <v>0.72911781723408675</v>
      </c>
      <c r="O157" s="35"/>
      <c r="P157" s="35">
        <f t="shared" si="116"/>
        <v>2.1628318442656766E-4</v>
      </c>
      <c r="Q157" s="35">
        <f t="shared" si="117"/>
        <v>1.47065694309233E-2</v>
      </c>
      <c r="BS157">
        <f t="shared" si="100"/>
        <v>23</v>
      </c>
      <c r="BT157" s="19">
        <f t="shared" si="107"/>
        <v>8.1300000000000008</v>
      </c>
      <c r="BU157" s="19">
        <f t="shared" si="110"/>
        <v>0.71441124780316345</v>
      </c>
    </row>
    <row r="158" spans="1:73" x14ac:dyDescent="0.25">
      <c r="A158" s="276"/>
      <c r="B158" s="32">
        <f t="shared" si="108"/>
        <v>24</v>
      </c>
      <c r="C158" s="69">
        <f t="shared" si="109"/>
        <v>0.63268892794376097</v>
      </c>
      <c r="E158" s="31">
        <f t="shared" si="111"/>
        <v>11.632530120481928</v>
      </c>
      <c r="F158" s="31">
        <f t="shared" si="112"/>
        <v>-0.18634803866796334</v>
      </c>
      <c r="H158" s="31">
        <f t="shared" si="113"/>
        <v>-2.1676991726978145</v>
      </c>
      <c r="I158" s="31">
        <f t="shared" si="114"/>
        <v>135.31575700391929</v>
      </c>
      <c r="J158" s="31">
        <f t="shared" si="115"/>
        <v>3.472559151539676E-2</v>
      </c>
      <c r="K158" s="31"/>
      <c r="L158" s="74">
        <f t="shared" si="118"/>
        <v>24</v>
      </c>
      <c r="M158" s="31">
        <f t="shared" si="119"/>
        <v>0.63268892794376097</v>
      </c>
      <c r="N158" s="35">
        <f t="shared" si="120"/>
        <v>0.72066083208015597</v>
      </c>
      <c r="O158" s="35"/>
      <c r="P158" s="35">
        <f t="shared" si="116"/>
        <v>7.7390559173830713E-3</v>
      </c>
      <c r="Q158" s="35">
        <f t="shared" si="117"/>
        <v>8.7971904136394996E-2</v>
      </c>
      <c r="BS158">
        <f t="shared" si="100"/>
        <v>24</v>
      </c>
      <c r="BT158" s="19">
        <f t="shared" si="107"/>
        <v>7.2</v>
      </c>
      <c r="BU158" s="19">
        <f t="shared" si="110"/>
        <v>0.63268892794376097</v>
      </c>
    </row>
    <row r="159" spans="1:73" x14ac:dyDescent="0.25">
      <c r="A159" s="276" t="s">
        <v>10</v>
      </c>
      <c r="B159" s="30">
        <f>AC15</f>
        <v>1</v>
      </c>
      <c r="C159" s="68">
        <f>AJ15</f>
        <v>1</v>
      </c>
      <c r="E159" s="31">
        <f t="shared" si="111"/>
        <v>-11.367469879518072</v>
      </c>
      <c r="F159" s="31">
        <f t="shared" si="112"/>
        <v>0.18096303338827568</v>
      </c>
      <c r="H159" s="31">
        <f t="shared" si="113"/>
        <v>-2.0570918313474471</v>
      </c>
      <c r="I159" s="31">
        <f t="shared" si="114"/>
        <v>129.21937146175063</v>
      </c>
      <c r="J159" s="31">
        <f t="shared" si="115"/>
        <v>3.2747619453086178E-2</v>
      </c>
      <c r="K159" s="31"/>
      <c r="L159" s="74">
        <f t="shared" si="118"/>
        <v>1</v>
      </c>
      <c r="M159" s="31">
        <f t="shared" si="119"/>
        <v>1</v>
      </c>
      <c r="N159" s="35">
        <f t="shared" si="120"/>
        <v>0.91517149062056402</v>
      </c>
      <c r="O159" s="35"/>
      <c r="P159" s="35">
        <f t="shared" si="116"/>
        <v>7.1958760035370582E-3</v>
      </c>
      <c r="Q159" s="35">
        <f t="shared" si="117"/>
        <v>-8.4828509379435979E-2</v>
      </c>
      <c r="BS159">
        <f t="shared" si="100"/>
        <v>1</v>
      </c>
      <c r="BT159" s="19">
        <f t="shared" ref="BT159:BT180" si="121">Z15</f>
        <v>9.4600000000000009</v>
      </c>
      <c r="BU159" s="19">
        <f>AJ15</f>
        <v>1</v>
      </c>
    </row>
    <row r="160" spans="1:73" x14ac:dyDescent="0.25">
      <c r="A160" s="276"/>
      <c r="B160" s="30">
        <f t="shared" ref="B160:B180" si="122">AC16</f>
        <v>2</v>
      </c>
      <c r="C160" s="68">
        <f t="shared" ref="C160:C180" si="123">AJ16</f>
        <v>0.92177589852008457</v>
      </c>
      <c r="E160" s="31">
        <f t="shared" si="111"/>
        <v>-10.367469879518072</v>
      </c>
      <c r="F160" s="31">
        <f t="shared" si="112"/>
        <v>0.10273893190836025</v>
      </c>
      <c r="H160" s="31">
        <f t="shared" si="113"/>
        <v>-1.0651427820137831</v>
      </c>
      <c r="I160" s="31">
        <f t="shared" si="114"/>
        <v>107.48443170271447</v>
      </c>
      <c r="J160" s="31">
        <f t="shared" si="115"/>
        <v>1.0555288129670685E-2</v>
      </c>
      <c r="K160" s="31"/>
      <c r="L160" s="74">
        <f t="shared" si="118"/>
        <v>2</v>
      </c>
      <c r="M160" s="31">
        <f t="shared" si="119"/>
        <v>0.92177589852008457</v>
      </c>
      <c r="N160" s="35">
        <f t="shared" si="120"/>
        <v>0.90671450546663324</v>
      </c>
      <c r="O160" s="35"/>
      <c r="P160" s="35">
        <f t="shared" si="116"/>
        <v>2.2684556071055206E-4</v>
      </c>
      <c r="Q160" s="35">
        <f t="shared" si="117"/>
        <v>-1.5061393053451333E-2</v>
      </c>
      <c r="BS160">
        <f t="shared" si="100"/>
        <v>2</v>
      </c>
      <c r="BT160" s="19">
        <f t="shared" si="121"/>
        <v>8.7200000000000006</v>
      </c>
      <c r="BU160" s="19">
        <f t="shared" ref="BU160:BU180" si="124">AJ16</f>
        <v>0.92177589852008457</v>
      </c>
    </row>
    <row r="161" spans="1:73" x14ac:dyDescent="0.25">
      <c r="A161" s="276"/>
      <c r="B161" s="30">
        <f t="shared" si="122"/>
        <v>3</v>
      </c>
      <c r="C161" s="68">
        <f t="shared" si="123"/>
        <v>0.84460887949260033</v>
      </c>
      <c r="E161" s="31">
        <f t="shared" si="111"/>
        <v>-9.3674698795180724</v>
      </c>
      <c r="F161" s="31">
        <f t="shared" si="112"/>
        <v>2.5571912880876013E-2</v>
      </c>
      <c r="H161" s="31">
        <f t="shared" si="113"/>
        <v>-0.23954412367326627</v>
      </c>
      <c r="I161" s="31">
        <f t="shared" si="114"/>
        <v>87.749491943678336</v>
      </c>
      <c r="J161" s="31">
        <f t="shared" si="115"/>
        <v>6.5392272838711259E-4</v>
      </c>
      <c r="K161" s="31"/>
      <c r="L161" s="74">
        <f t="shared" si="118"/>
        <v>3</v>
      </c>
      <c r="M161" s="31">
        <f t="shared" si="119"/>
        <v>0.84460887949260033</v>
      </c>
      <c r="N161" s="35">
        <f t="shared" si="120"/>
        <v>0.89825752031270245</v>
      </c>
      <c r="O161" s="35"/>
      <c r="P161" s="35">
        <f t="shared" si="116"/>
        <v>2.8781766618443277E-3</v>
      </c>
      <c r="Q161" s="35">
        <f t="shared" si="117"/>
        <v>5.3648640820102123E-2</v>
      </c>
      <c r="BS161">
        <f t="shared" si="100"/>
        <v>3</v>
      </c>
      <c r="BT161" s="19">
        <f t="shared" si="121"/>
        <v>7.99</v>
      </c>
      <c r="BU161" s="19">
        <f t="shared" si="124"/>
        <v>0.84460887949260033</v>
      </c>
    </row>
    <row r="162" spans="1:73" x14ac:dyDescent="0.25">
      <c r="A162" s="276"/>
      <c r="B162" s="30">
        <f t="shared" si="122"/>
        <v>4</v>
      </c>
      <c r="C162" s="68">
        <f t="shared" si="123"/>
        <v>0.83298097251585612</v>
      </c>
      <c r="E162" s="31">
        <f t="shared" si="111"/>
        <v>-8.3674698795180724</v>
      </c>
      <c r="F162" s="31">
        <f t="shared" si="112"/>
        <v>1.3944005904131807E-2</v>
      </c>
      <c r="H162" s="31">
        <f t="shared" si="113"/>
        <v>-0.11667604940264506</v>
      </c>
      <c r="I162" s="31">
        <f t="shared" si="114"/>
        <v>70.014552184642184</v>
      </c>
      <c r="J162" s="31">
        <f t="shared" si="115"/>
        <v>1.9443530065446269E-4</v>
      </c>
      <c r="K162" s="31"/>
      <c r="L162" s="74">
        <f t="shared" si="118"/>
        <v>4</v>
      </c>
      <c r="M162" s="31">
        <f t="shared" si="119"/>
        <v>0.83298097251585612</v>
      </c>
      <c r="N162" s="35">
        <f t="shared" si="120"/>
        <v>0.88980053515877167</v>
      </c>
      <c r="O162" s="35"/>
      <c r="P162" s="35">
        <f t="shared" si="116"/>
        <v>3.2284626989322039E-3</v>
      </c>
      <c r="Q162" s="35">
        <f t="shared" si="117"/>
        <v>5.6819562642915544E-2</v>
      </c>
      <c r="BS162">
        <f t="shared" si="100"/>
        <v>4</v>
      </c>
      <c r="BT162" s="19">
        <f t="shared" si="121"/>
        <v>7.88</v>
      </c>
      <c r="BU162" s="19">
        <f t="shared" si="124"/>
        <v>0.83298097251585612</v>
      </c>
    </row>
    <row r="163" spans="1:73" x14ac:dyDescent="0.25">
      <c r="A163" s="276"/>
      <c r="B163" s="30">
        <f t="shared" si="122"/>
        <v>5</v>
      </c>
      <c r="C163" s="68">
        <f t="shared" si="123"/>
        <v>0.82452431289640582</v>
      </c>
      <c r="E163" s="31">
        <f t="shared" si="111"/>
        <v>-7.3674698795180724</v>
      </c>
      <c r="F163" s="31">
        <f t="shared" si="112"/>
        <v>5.4873462846815046E-3</v>
      </c>
      <c r="H163" s="31">
        <f t="shared" si="113"/>
        <v>-4.0427858470876391E-2</v>
      </c>
      <c r="I163" s="31">
        <f t="shared" si="114"/>
        <v>54.279612425606039</v>
      </c>
      <c r="J163" s="31">
        <f t="shared" si="115"/>
        <v>3.0110969248007912E-5</v>
      </c>
      <c r="K163" s="31"/>
      <c r="L163" s="74">
        <f t="shared" si="118"/>
        <v>5</v>
      </c>
      <c r="M163" s="31">
        <f t="shared" si="119"/>
        <v>0.82452431289640582</v>
      </c>
      <c r="N163" s="35">
        <f t="shared" si="120"/>
        <v>0.88134355000484088</v>
      </c>
      <c r="O163" s="35"/>
      <c r="P163" s="35">
        <f t="shared" si="116"/>
        <v>3.2284257055845639E-3</v>
      </c>
      <c r="Q163" s="35">
        <f t="shared" si="117"/>
        <v>5.6819237108435061E-2</v>
      </c>
      <c r="BS163">
        <f t="shared" si="100"/>
        <v>5</v>
      </c>
      <c r="BT163" s="19">
        <f t="shared" si="121"/>
        <v>7.8</v>
      </c>
      <c r="BU163" s="19">
        <f t="shared" si="124"/>
        <v>0.82452431289640582</v>
      </c>
    </row>
    <row r="164" spans="1:73" x14ac:dyDescent="0.25">
      <c r="A164" s="276"/>
      <c r="B164" s="30">
        <f t="shared" si="122"/>
        <v>6</v>
      </c>
      <c r="C164" s="68">
        <f t="shared" si="123"/>
        <v>0.86152219873150104</v>
      </c>
      <c r="E164" s="31">
        <f t="shared" si="111"/>
        <v>-6.3674698795180724</v>
      </c>
      <c r="F164" s="31">
        <f t="shared" si="112"/>
        <v>4.2485232119776728E-2</v>
      </c>
      <c r="H164" s="31">
        <f t="shared" si="113"/>
        <v>-0.27052343584701205</v>
      </c>
      <c r="I164" s="31">
        <f t="shared" si="114"/>
        <v>40.544672666569895</v>
      </c>
      <c r="J164" s="31">
        <f t="shared" si="115"/>
        <v>1.8049949482713081E-3</v>
      </c>
      <c r="K164" s="31"/>
      <c r="L164" s="74">
        <f t="shared" si="118"/>
        <v>6</v>
      </c>
      <c r="M164" s="31">
        <f t="shared" si="119"/>
        <v>0.86152219873150104</v>
      </c>
      <c r="N164" s="35">
        <f t="shared" si="120"/>
        <v>0.8728865648509101</v>
      </c>
      <c r="O164" s="35"/>
      <c r="P164" s="35">
        <f t="shared" si="116"/>
        <v>1.2914881729597237E-4</v>
      </c>
      <c r="Q164" s="35">
        <f t="shared" si="117"/>
        <v>1.1364366119409053E-2</v>
      </c>
      <c r="BS164">
        <f t="shared" si="100"/>
        <v>6</v>
      </c>
      <c r="BT164" s="19">
        <f t="shared" si="121"/>
        <v>8.15</v>
      </c>
      <c r="BU164" s="19">
        <f t="shared" si="124"/>
        <v>0.86152219873150104</v>
      </c>
    </row>
    <row r="165" spans="1:73" x14ac:dyDescent="0.25">
      <c r="A165" s="276"/>
      <c r="B165" s="30">
        <f t="shared" si="122"/>
        <v>7</v>
      </c>
      <c r="C165" s="68">
        <f t="shared" si="123"/>
        <v>0.88583509513742076</v>
      </c>
      <c r="E165" s="31">
        <f t="shared" si="111"/>
        <v>-5.3674698795180724</v>
      </c>
      <c r="F165" s="31">
        <f t="shared" si="112"/>
        <v>6.6798128525696443E-2</v>
      </c>
      <c r="H165" s="31">
        <f t="shared" si="113"/>
        <v>-0.3585369428698526</v>
      </c>
      <c r="I165" s="31">
        <f t="shared" si="114"/>
        <v>28.80973290753375</v>
      </c>
      <c r="J165" s="31">
        <f t="shared" si="115"/>
        <v>4.4619899745354605E-3</v>
      </c>
      <c r="K165" s="31"/>
      <c r="L165" s="74">
        <f t="shared" si="118"/>
        <v>7</v>
      </c>
      <c r="M165" s="31">
        <f t="shared" si="119"/>
        <v>0.88583509513742076</v>
      </c>
      <c r="N165" s="35">
        <f t="shared" si="120"/>
        <v>0.86442957969697931</v>
      </c>
      <c r="O165" s="35"/>
      <c r="P165" s="35">
        <f t="shared" si="116"/>
        <v>4.5819609127097723E-4</v>
      </c>
      <c r="Q165" s="35">
        <f t="shared" si="117"/>
        <v>-2.1405515440441447E-2</v>
      </c>
      <c r="BS165">
        <f t="shared" si="100"/>
        <v>7</v>
      </c>
      <c r="BT165" s="19">
        <f t="shared" si="121"/>
        <v>8.3800000000000008</v>
      </c>
      <c r="BU165" s="19">
        <f t="shared" si="124"/>
        <v>0.88583509513742076</v>
      </c>
    </row>
    <row r="166" spans="1:73" x14ac:dyDescent="0.25">
      <c r="A166" s="276"/>
      <c r="B166" s="30">
        <f t="shared" si="122"/>
        <v>8</v>
      </c>
      <c r="C166" s="68">
        <f t="shared" si="123"/>
        <v>0.7769556025369978</v>
      </c>
      <c r="E166" s="31">
        <f t="shared" si="111"/>
        <v>-4.3674698795180724</v>
      </c>
      <c r="F166" s="31">
        <f t="shared" si="112"/>
        <v>-4.2081364074726513E-2</v>
      </c>
      <c r="H166" s="31">
        <f t="shared" si="113"/>
        <v>0.18378909008540195</v>
      </c>
      <c r="I166" s="31">
        <f t="shared" si="114"/>
        <v>19.074793148497605</v>
      </c>
      <c r="J166" s="31">
        <f t="shared" si="115"/>
        <v>1.7708412023896831E-3</v>
      </c>
      <c r="K166" s="31"/>
      <c r="L166" s="74">
        <f t="shared" si="118"/>
        <v>8</v>
      </c>
      <c r="M166" s="31">
        <f t="shared" si="119"/>
        <v>0.7769556025369978</v>
      </c>
      <c r="N166" s="35">
        <f t="shared" si="120"/>
        <v>0.85597259454304853</v>
      </c>
      <c r="O166" s="35"/>
      <c r="P166" s="35">
        <f t="shared" si="116"/>
        <v>6.2436850256842842E-3</v>
      </c>
      <c r="Q166" s="35">
        <f t="shared" si="117"/>
        <v>7.9016992006050724E-2</v>
      </c>
      <c r="BS166">
        <f t="shared" si="100"/>
        <v>8</v>
      </c>
      <c r="BT166" s="19">
        <f t="shared" si="121"/>
        <v>7.35</v>
      </c>
      <c r="BU166" s="19">
        <f t="shared" si="124"/>
        <v>0.7769556025369978</v>
      </c>
    </row>
    <row r="167" spans="1:73" x14ac:dyDescent="0.25">
      <c r="A167" s="276"/>
      <c r="B167" s="30">
        <f t="shared" si="122"/>
        <v>9</v>
      </c>
      <c r="C167" s="68">
        <f t="shared" si="123"/>
        <v>0.86680761099365733</v>
      </c>
      <c r="E167" s="31">
        <f t="shared" si="111"/>
        <v>-3.3674698795180724</v>
      </c>
      <c r="F167" s="31">
        <f t="shared" si="112"/>
        <v>4.7770644381933014E-2</v>
      </c>
      <c r="H167" s="31">
        <f t="shared" si="113"/>
        <v>-0.16086620608132865</v>
      </c>
      <c r="I167" s="31">
        <f t="shared" si="114"/>
        <v>11.339853389461462</v>
      </c>
      <c r="J167" s="31">
        <f t="shared" si="115"/>
        <v>2.2820344646651081E-3</v>
      </c>
      <c r="K167" s="31"/>
      <c r="L167" s="74">
        <f t="shared" si="118"/>
        <v>9</v>
      </c>
      <c r="M167" s="31">
        <f t="shared" si="119"/>
        <v>0.86680761099365733</v>
      </c>
      <c r="N167" s="35">
        <f t="shared" si="120"/>
        <v>0.84751560938911774</v>
      </c>
      <c r="O167" s="35"/>
      <c r="P167" s="35">
        <f t="shared" si="116"/>
        <v>3.7218132590955804E-4</v>
      </c>
      <c r="Q167" s="35">
        <f t="shared" si="117"/>
        <v>-1.9292001604539588E-2</v>
      </c>
      <c r="BS167">
        <f t="shared" si="100"/>
        <v>9</v>
      </c>
      <c r="BT167" s="19">
        <f t="shared" si="121"/>
        <v>8.1999999999999993</v>
      </c>
      <c r="BU167" s="19">
        <f t="shared" si="124"/>
        <v>0.86680761099365733</v>
      </c>
    </row>
    <row r="168" spans="1:73" x14ac:dyDescent="0.25">
      <c r="A168" s="276"/>
      <c r="B168" s="30">
        <f t="shared" si="122"/>
        <v>10</v>
      </c>
      <c r="C168" s="68">
        <f t="shared" si="123"/>
        <v>0.88266384778012674</v>
      </c>
      <c r="E168" s="31">
        <f t="shared" si="111"/>
        <v>-2.3674698795180724</v>
      </c>
      <c r="F168" s="31">
        <f t="shared" si="112"/>
        <v>6.3626881168402427E-2</v>
      </c>
      <c r="H168" s="31">
        <f t="shared" si="113"/>
        <v>-0.1506347246938684</v>
      </c>
      <c r="I168" s="31">
        <f t="shared" si="114"/>
        <v>5.6049136304253162</v>
      </c>
      <c r="J168" s="31">
        <f t="shared" si="115"/>
        <v>4.0483800072180038E-3</v>
      </c>
      <c r="K168" s="31"/>
      <c r="L168" s="74">
        <f t="shared" si="118"/>
        <v>10</v>
      </c>
      <c r="M168" s="31">
        <f t="shared" si="119"/>
        <v>0.88266384778012674</v>
      </c>
      <c r="N168" s="35">
        <f t="shared" si="120"/>
        <v>0.83905862423518696</v>
      </c>
      <c r="O168" s="35"/>
      <c r="P168" s="35">
        <f t="shared" si="116"/>
        <v>1.9014155204041712E-3</v>
      </c>
      <c r="Q168" s="35">
        <f t="shared" si="117"/>
        <v>-4.3605223544939786E-2</v>
      </c>
      <c r="BS168">
        <f t="shared" ref="BS168:BS180" si="125">BS144</f>
        <v>10</v>
      </c>
      <c r="BT168" s="19">
        <f t="shared" si="121"/>
        <v>8.35</v>
      </c>
      <c r="BU168" s="19">
        <f t="shared" si="124"/>
        <v>0.88266384778012674</v>
      </c>
    </row>
    <row r="169" spans="1:73" x14ac:dyDescent="0.25">
      <c r="A169" s="276"/>
      <c r="B169" s="30">
        <f t="shared" si="122"/>
        <v>11</v>
      </c>
      <c r="C169" s="68">
        <f t="shared" si="123"/>
        <v>0.86363636363636354</v>
      </c>
      <c r="E169" s="31">
        <f t="shared" si="111"/>
        <v>-1.3674698795180724</v>
      </c>
      <c r="F169" s="31">
        <f t="shared" si="112"/>
        <v>4.459939702463922E-2</v>
      </c>
      <c r="H169" s="31">
        <f t="shared" si="113"/>
        <v>-6.0988332075862073E-2</v>
      </c>
      <c r="I169" s="31">
        <f t="shared" si="114"/>
        <v>1.8699738713891716</v>
      </c>
      <c r="J169" s="31">
        <f t="shared" si="115"/>
        <v>1.9891062149613977E-3</v>
      </c>
      <c r="K169" s="31"/>
      <c r="L169" s="74">
        <f t="shared" si="118"/>
        <v>11</v>
      </c>
      <c r="M169" s="31">
        <f t="shared" si="119"/>
        <v>0.86363636363636354</v>
      </c>
      <c r="N169" s="35">
        <f t="shared" si="120"/>
        <v>0.83060163908125617</v>
      </c>
      <c r="O169" s="35"/>
      <c r="P169" s="35">
        <f t="shared" si="116"/>
        <v>1.0912930264318135E-3</v>
      </c>
      <c r="Q169" s="35">
        <f t="shared" si="117"/>
        <v>-3.3034724555107364E-2</v>
      </c>
      <c r="BS169">
        <f t="shared" si="125"/>
        <v>11</v>
      </c>
      <c r="BT169" s="19">
        <f t="shared" si="121"/>
        <v>8.17</v>
      </c>
      <c r="BU169" s="19">
        <f t="shared" si="124"/>
        <v>0.86363636363636354</v>
      </c>
    </row>
    <row r="170" spans="1:73" x14ac:dyDescent="0.25">
      <c r="A170" s="276"/>
      <c r="B170" s="30">
        <f t="shared" si="122"/>
        <v>12</v>
      </c>
      <c r="C170" s="68">
        <f t="shared" si="123"/>
        <v>0.82452431289640582</v>
      </c>
      <c r="E170" s="31">
        <f t="shared" si="111"/>
        <v>-0.36746987951807242</v>
      </c>
      <c r="F170" s="31">
        <f t="shared" si="112"/>
        <v>5.4873462846815046E-3</v>
      </c>
      <c r="H170" s="31">
        <f t="shared" si="113"/>
        <v>-2.0164344781058549E-3</v>
      </c>
      <c r="I170" s="31">
        <f t="shared" si="114"/>
        <v>0.13503411235302665</v>
      </c>
      <c r="J170" s="31">
        <f t="shared" si="115"/>
        <v>3.0110969248007912E-5</v>
      </c>
      <c r="K170" s="31"/>
      <c r="L170" s="74">
        <f t="shared" si="118"/>
        <v>12</v>
      </c>
      <c r="M170" s="31">
        <f t="shared" si="119"/>
        <v>0.82452431289640582</v>
      </c>
      <c r="N170" s="35">
        <f t="shared" si="120"/>
        <v>0.82214465392732539</v>
      </c>
      <c r="O170" s="35"/>
      <c r="P170" s="35">
        <f t="shared" si="116"/>
        <v>5.6627768091249529E-6</v>
      </c>
      <c r="Q170" s="35">
        <f t="shared" si="117"/>
        <v>-2.3796589690804337E-3</v>
      </c>
      <c r="BS170">
        <f t="shared" si="125"/>
        <v>12</v>
      </c>
      <c r="BT170" s="19">
        <f t="shared" si="121"/>
        <v>7.8</v>
      </c>
      <c r="BU170" s="19">
        <f t="shared" si="124"/>
        <v>0.82452431289640582</v>
      </c>
    </row>
    <row r="171" spans="1:73" x14ac:dyDescent="0.25">
      <c r="A171" s="276"/>
      <c r="B171" s="30">
        <f t="shared" si="122"/>
        <v>13</v>
      </c>
      <c r="C171" s="68">
        <f t="shared" si="123"/>
        <v>0.79069767441860461</v>
      </c>
      <c r="E171" s="31">
        <f t="shared" si="111"/>
        <v>0.63253012048192758</v>
      </c>
      <c r="F171" s="31">
        <f t="shared" si="112"/>
        <v>-2.8339292193119703E-2</v>
      </c>
      <c r="H171" s="31">
        <f t="shared" si="113"/>
        <v>-1.7925455905286554E-2</v>
      </c>
      <c r="I171" s="31">
        <f t="shared" si="114"/>
        <v>0.40009435331688181</v>
      </c>
      <c r="J171" s="31">
        <f t="shared" si="115"/>
        <v>8.0311548200701533E-4</v>
      </c>
      <c r="K171" s="31"/>
      <c r="L171" s="74">
        <f t="shared" si="118"/>
        <v>13</v>
      </c>
      <c r="M171" s="31">
        <f t="shared" si="119"/>
        <v>0.79069767441860461</v>
      </c>
      <c r="N171" s="35">
        <f t="shared" si="120"/>
        <v>0.8136876687733946</v>
      </c>
      <c r="O171" s="35"/>
      <c r="P171" s="35">
        <f t="shared" si="116"/>
        <v>5.2853984043327556E-4</v>
      </c>
      <c r="Q171" s="35">
        <f t="shared" si="117"/>
        <v>2.2989994354789989E-2</v>
      </c>
      <c r="BS171">
        <f t="shared" si="125"/>
        <v>13</v>
      </c>
      <c r="BT171" s="19">
        <f t="shared" si="121"/>
        <v>7.48</v>
      </c>
      <c r="BU171" s="19">
        <f t="shared" si="124"/>
        <v>0.79069767441860461</v>
      </c>
    </row>
    <row r="172" spans="1:73" x14ac:dyDescent="0.25">
      <c r="A172" s="276"/>
      <c r="B172" s="30">
        <f t="shared" si="122"/>
        <v>14</v>
      </c>
      <c r="C172" s="68">
        <f t="shared" si="123"/>
        <v>0.85623678646934454</v>
      </c>
      <c r="E172" s="31">
        <f t="shared" si="111"/>
        <v>1.6325301204819276</v>
      </c>
      <c r="F172" s="31">
        <f t="shared" si="112"/>
        <v>3.719981985762022E-2</v>
      </c>
      <c r="H172" s="31">
        <f t="shared" si="113"/>
        <v>6.0729826394066738E-2</v>
      </c>
      <c r="I172" s="31">
        <f t="shared" si="114"/>
        <v>2.6651545942807369</v>
      </c>
      <c r="J172" s="31">
        <f t="shared" si="115"/>
        <v>1.3838265974393956E-3</v>
      </c>
      <c r="K172" s="31"/>
      <c r="L172" s="74">
        <f t="shared" si="118"/>
        <v>14</v>
      </c>
      <c r="M172" s="31">
        <f t="shared" si="119"/>
        <v>0.85623678646934454</v>
      </c>
      <c r="N172" s="35">
        <f t="shared" si="120"/>
        <v>0.80523068361946382</v>
      </c>
      <c r="O172" s="35"/>
      <c r="P172" s="35">
        <f t="shared" si="116"/>
        <v>2.60162252793261E-3</v>
      </c>
      <c r="Q172" s="35">
        <f t="shared" si="117"/>
        <v>-5.1006102849880719E-2</v>
      </c>
      <c r="BS172">
        <f t="shared" si="125"/>
        <v>14</v>
      </c>
      <c r="BT172" s="19">
        <f t="shared" si="121"/>
        <v>8.1</v>
      </c>
      <c r="BU172" s="19">
        <f t="shared" si="124"/>
        <v>0.85623678646934454</v>
      </c>
    </row>
    <row r="173" spans="1:73" x14ac:dyDescent="0.25">
      <c r="A173" s="276"/>
      <c r="B173" s="30">
        <f t="shared" si="122"/>
        <v>15</v>
      </c>
      <c r="C173" s="68">
        <f t="shared" si="123"/>
        <v>0.86892177589852004</v>
      </c>
      <c r="E173" s="31">
        <f t="shared" si="111"/>
        <v>2.6325301204819276</v>
      </c>
      <c r="F173" s="31">
        <f t="shared" si="112"/>
        <v>4.9884809286795728E-2</v>
      </c>
      <c r="H173" s="31">
        <f t="shared" si="113"/>
        <v>0.13132326300198635</v>
      </c>
      <c r="I173" s="31">
        <f t="shared" si="114"/>
        <v>6.930214835244592</v>
      </c>
      <c r="J173" s="31">
        <f t="shared" si="115"/>
        <v>2.4884941975799814E-3</v>
      </c>
      <c r="K173" s="31"/>
      <c r="L173" s="74">
        <f t="shared" si="118"/>
        <v>15</v>
      </c>
      <c r="M173" s="31">
        <f t="shared" si="119"/>
        <v>0.86892177589852004</v>
      </c>
      <c r="N173" s="35">
        <f t="shared" si="120"/>
        <v>0.79677369846553303</v>
      </c>
      <c r="O173" s="35"/>
      <c r="P173" s="35">
        <f t="shared" si="116"/>
        <v>5.2053450772762896E-3</v>
      </c>
      <c r="Q173" s="35">
        <f t="shared" si="117"/>
        <v>-7.2148077432987012E-2</v>
      </c>
      <c r="BS173">
        <f t="shared" si="125"/>
        <v>15</v>
      </c>
      <c r="BT173" s="19">
        <f t="shared" si="121"/>
        <v>8.2200000000000006</v>
      </c>
      <c r="BU173" s="19">
        <f t="shared" si="124"/>
        <v>0.86892177589852004</v>
      </c>
    </row>
    <row r="174" spans="1:73" x14ac:dyDescent="0.25">
      <c r="A174" s="276"/>
      <c r="B174" s="30">
        <f t="shared" si="122"/>
        <v>16</v>
      </c>
      <c r="C174" s="68">
        <f t="shared" si="123"/>
        <v>0.86046511627906974</v>
      </c>
      <c r="E174" s="31">
        <f t="shared" si="111"/>
        <v>3.6325301204819276</v>
      </c>
      <c r="F174" s="31">
        <f t="shared" si="112"/>
        <v>4.1428149667345426E-2</v>
      </c>
      <c r="H174" s="31">
        <f t="shared" si="113"/>
        <v>0.15048900150246561</v>
      </c>
      <c r="I174" s="31">
        <f t="shared" si="114"/>
        <v>13.195275076208448</v>
      </c>
      <c r="J174" s="31">
        <f t="shared" si="115"/>
        <v>1.7162915848599729E-3</v>
      </c>
      <c r="K174" s="31"/>
      <c r="L174" s="74">
        <f t="shared" si="118"/>
        <v>16</v>
      </c>
      <c r="M174" s="31">
        <f t="shared" si="119"/>
        <v>0.86046511627906974</v>
      </c>
      <c r="N174" s="35">
        <f t="shared" si="120"/>
        <v>0.78831671331160225</v>
      </c>
      <c r="O174" s="35"/>
      <c r="P174" s="35">
        <f t="shared" si="116"/>
        <v>5.2053920507560726E-3</v>
      </c>
      <c r="Q174" s="35">
        <f t="shared" si="117"/>
        <v>-7.2148402967467495E-2</v>
      </c>
      <c r="BS174">
        <f t="shared" si="125"/>
        <v>16</v>
      </c>
      <c r="BT174" s="19">
        <f t="shared" si="121"/>
        <v>8.14</v>
      </c>
      <c r="BU174" s="19">
        <f t="shared" si="124"/>
        <v>0.86046511627906974</v>
      </c>
    </row>
    <row r="175" spans="1:73" x14ac:dyDescent="0.25">
      <c r="A175" s="276"/>
      <c r="B175" s="30">
        <f t="shared" si="122"/>
        <v>17</v>
      </c>
      <c r="C175" s="68">
        <f t="shared" si="123"/>
        <v>0.81289640591966172</v>
      </c>
      <c r="E175" s="31">
        <f t="shared" ref="E175:E180" si="126">B175-$B$11</f>
        <v>4.6325301204819276</v>
      </c>
      <c r="F175" s="31">
        <f t="shared" ref="F175:F180" si="127">C175-$C$11</f>
        <v>-6.140560692062591E-3</v>
      </c>
      <c r="H175" s="31">
        <f t="shared" si="113"/>
        <v>-2.8446332362627304E-2</v>
      </c>
      <c r="I175" s="31">
        <f t="shared" si="114"/>
        <v>21.460335317172301</v>
      </c>
      <c r="J175" s="31">
        <f t="shared" si="115"/>
        <v>3.7706485612904206E-5</v>
      </c>
      <c r="K175" s="31"/>
      <c r="L175" s="74">
        <f t="shared" si="118"/>
        <v>17</v>
      </c>
      <c r="M175" s="31">
        <f t="shared" si="119"/>
        <v>0.81289640591966172</v>
      </c>
      <c r="N175" s="35">
        <f t="shared" si="120"/>
        <v>0.77985972815767146</v>
      </c>
      <c r="O175" s="35"/>
      <c r="P175" s="35">
        <f t="shared" si="116"/>
        <v>1.0914220775495819E-3</v>
      </c>
      <c r="Q175" s="35">
        <f t="shared" si="117"/>
        <v>-3.3036677761990263E-2</v>
      </c>
      <c r="BS175">
        <f t="shared" si="125"/>
        <v>17</v>
      </c>
      <c r="BT175" s="19">
        <f t="shared" si="121"/>
        <v>7.69</v>
      </c>
      <c r="BU175" s="19">
        <f t="shared" si="124"/>
        <v>0.81289640591966172</v>
      </c>
    </row>
    <row r="176" spans="1:73" x14ac:dyDescent="0.25">
      <c r="A176" s="276"/>
      <c r="B176" s="30">
        <f t="shared" si="122"/>
        <v>18</v>
      </c>
      <c r="C176" s="68">
        <f t="shared" si="123"/>
        <v>0.79386892177589841</v>
      </c>
      <c r="E176" s="31">
        <f t="shared" si="126"/>
        <v>5.6325301204819276</v>
      </c>
      <c r="F176" s="31">
        <f t="shared" si="127"/>
        <v>-2.5168044835825909E-2</v>
      </c>
      <c r="H176" s="31">
        <f t="shared" si="113"/>
        <v>-0.14175977061142905</v>
      </c>
      <c r="I176" s="31">
        <f t="shared" si="114"/>
        <v>31.725395558136157</v>
      </c>
      <c r="J176" s="31">
        <f t="shared" si="115"/>
        <v>6.3343048085814316E-4</v>
      </c>
      <c r="K176" s="31"/>
      <c r="L176" s="74">
        <f t="shared" si="118"/>
        <v>18</v>
      </c>
      <c r="M176" s="31">
        <f t="shared" si="119"/>
        <v>0.79386892177589841</v>
      </c>
      <c r="N176" s="35">
        <f t="shared" si="120"/>
        <v>0.77140274300374068</v>
      </c>
      <c r="O176" s="35"/>
      <c r="P176" s="35">
        <f t="shared" si="116"/>
        <v>5.0472918862255061E-4</v>
      </c>
      <c r="Q176" s="35">
        <f t="shared" si="117"/>
        <v>-2.246617877215773E-2</v>
      </c>
      <c r="BS176">
        <f t="shared" si="125"/>
        <v>18</v>
      </c>
      <c r="BT176" s="19">
        <f t="shared" si="121"/>
        <v>7.51</v>
      </c>
      <c r="BU176" s="19">
        <f t="shared" si="124"/>
        <v>0.79386892177589841</v>
      </c>
    </row>
    <row r="177" spans="1:73" x14ac:dyDescent="0.25">
      <c r="A177" s="276"/>
      <c r="B177" s="30">
        <f t="shared" si="122"/>
        <v>19</v>
      </c>
      <c r="C177" s="68">
        <f t="shared" si="123"/>
        <v>0.78646934460887952</v>
      </c>
      <c r="E177" s="31">
        <f t="shared" si="126"/>
        <v>6.6325301204819276</v>
      </c>
      <c r="F177" s="31">
        <f t="shared" si="127"/>
        <v>-3.2567622002844798E-2</v>
      </c>
      <c r="H177" s="31">
        <f t="shared" si="113"/>
        <v>-0.21600573388633809</v>
      </c>
      <c r="I177" s="31">
        <f t="shared" si="114"/>
        <v>43.990455799100012</v>
      </c>
      <c r="J177" s="31">
        <f t="shared" si="115"/>
        <v>1.0606500029201806E-3</v>
      </c>
      <c r="K177" s="31"/>
      <c r="L177" s="74">
        <f t="shared" si="118"/>
        <v>19</v>
      </c>
      <c r="M177" s="31">
        <f t="shared" si="119"/>
        <v>0.78646934460887952</v>
      </c>
      <c r="N177" s="35">
        <f t="shared" si="120"/>
        <v>0.76294575784980989</v>
      </c>
      <c r="O177" s="35"/>
      <c r="P177" s="35">
        <f t="shared" si="116"/>
        <v>5.5335913401147587E-4</v>
      </c>
      <c r="Q177" s="35">
        <f t="shared" si="117"/>
        <v>-2.3523586759069626E-2</v>
      </c>
      <c r="BS177">
        <f t="shared" si="125"/>
        <v>19</v>
      </c>
      <c r="BT177" s="19">
        <f t="shared" si="121"/>
        <v>7.44</v>
      </c>
      <c r="BU177" s="19">
        <f t="shared" si="124"/>
        <v>0.78646934460887952</v>
      </c>
    </row>
    <row r="178" spans="1:73" x14ac:dyDescent="0.25">
      <c r="A178" s="276"/>
      <c r="B178" s="30">
        <f t="shared" si="122"/>
        <v>20</v>
      </c>
      <c r="C178" s="68">
        <f t="shared" si="123"/>
        <v>0.7843551797040168</v>
      </c>
      <c r="E178" s="31">
        <f t="shared" si="126"/>
        <v>7.6325301204819276</v>
      </c>
      <c r="F178" s="31">
        <f t="shared" si="127"/>
        <v>-3.4681786907707512E-2</v>
      </c>
      <c r="H178" s="31">
        <f t="shared" si="113"/>
        <v>-0.26470978320521338</v>
      </c>
      <c r="I178" s="31">
        <f t="shared" si="114"/>
        <v>58.255516040063867</v>
      </c>
      <c r="J178" s="31">
        <f t="shared" si="115"/>
        <v>1.2028263431116321E-3</v>
      </c>
      <c r="K178" s="31"/>
      <c r="L178" s="74">
        <f t="shared" si="118"/>
        <v>20</v>
      </c>
      <c r="M178" s="31">
        <f t="shared" si="119"/>
        <v>0.7843551797040168</v>
      </c>
      <c r="N178" s="35">
        <f t="shared" si="120"/>
        <v>0.75448877269587911</v>
      </c>
      <c r="O178" s="35"/>
      <c r="P178" s="35">
        <f t="shared" si="116"/>
        <v>8.9200226757573655E-4</v>
      </c>
      <c r="Q178" s="35">
        <f t="shared" si="117"/>
        <v>-2.9866407008137696E-2</v>
      </c>
      <c r="BS178">
        <f t="shared" si="125"/>
        <v>20</v>
      </c>
      <c r="BT178" s="19">
        <f t="shared" si="121"/>
        <v>7.42</v>
      </c>
      <c r="BU178" s="19">
        <f t="shared" si="124"/>
        <v>0.7843551797040168</v>
      </c>
    </row>
    <row r="179" spans="1:73" x14ac:dyDescent="0.25">
      <c r="A179" s="276"/>
      <c r="B179" s="30">
        <f t="shared" si="122"/>
        <v>21</v>
      </c>
      <c r="C179" s="68">
        <f t="shared" si="123"/>
        <v>0.75687103594080329</v>
      </c>
      <c r="E179" s="31">
        <f t="shared" si="126"/>
        <v>8.6325301204819276</v>
      </c>
      <c r="F179" s="31">
        <f t="shared" si="127"/>
        <v>-6.2165930670921021E-2</v>
      </c>
      <c r="H179" s="31">
        <f t="shared" si="113"/>
        <v>-0.53664926898451704</v>
      </c>
      <c r="I179" s="31">
        <f t="shared" si="114"/>
        <v>74.520576281027729</v>
      </c>
      <c r="J179" s="31">
        <f t="shared" si="115"/>
        <v>3.8646029361817588E-3</v>
      </c>
      <c r="K179" s="31"/>
      <c r="L179" s="74">
        <f t="shared" si="118"/>
        <v>21</v>
      </c>
      <c r="M179" s="31">
        <f t="shared" si="119"/>
        <v>0.75687103594080329</v>
      </c>
      <c r="N179" s="35">
        <f t="shared" si="120"/>
        <v>0.74603178754194832</v>
      </c>
      <c r="O179" s="35"/>
      <c r="P179" s="35">
        <f t="shared" si="116"/>
        <v>1.1748930585208009E-4</v>
      </c>
      <c r="Q179" s="35">
        <f t="shared" si="117"/>
        <v>-1.0839248398854973E-2</v>
      </c>
      <c r="BS179">
        <f t="shared" si="125"/>
        <v>21</v>
      </c>
      <c r="BT179" s="19">
        <f t="shared" si="121"/>
        <v>7.16</v>
      </c>
      <c r="BU179" s="19">
        <f t="shared" si="124"/>
        <v>0.75687103594080329</v>
      </c>
    </row>
    <row r="180" spans="1:73" x14ac:dyDescent="0.25">
      <c r="A180" s="276"/>
      <c r="B180" s="30">
        <f t="shared" si="122"/>
        <v>22</v>
      </c>
      <c r="C180" s="68">
        <f t="shared" si="123"/>
        <v>0.71775898520084558</v>
      </c>
      <c r="E180" s="31">
        <f t="shared" si="126"/>
        <v>9.6325301204819276</v>
      </c>
      <c r="F180" s="31">
        <f t="shared" si="127"/>
        <v>-0.10127798141087874</v>
      </c>
      <c r="H180" s="31">
        <f t="shared" si="113"/>
        <v>-0.9755632064818982</v>
      </c>
      <c r="I180" s="31">
        <f t="shared" si="114"/>
        <v>92.785636521991577</v>
      </c>
      <c r="J180" s="31">
        <f t="shared" si="115"/>
        <v>1.0257229518662299E-2</v>
      </c>
      <c r="K180" s="31"/>
      <c r="L180" s="74">
        <f t="shared" si="118"/>
        <v>22</v>
      </c>
      <c r="M180" s="31">
        <f t="shared" si="119"/>
        <v>0.71775898520084558</v>
      </c>
      <c r="N180" s="35">
        <f t="shared" si="120"/>
        <v>0.73757480238801754</v>
      </c>
      <c r="O180" s="35"/>
      <c r="P180" s="35">
        <f t="shared" si="116"/>
        <v>3.9266661079541957E-4</v>
      </c>
      <c r="Q180" s="35">
        <f t="shared" si="117"/>
        <v>1.9815817187171958E-2</v>
      </c>
      <c r="BS180">
        <f t="shared" si="125"/>
        <v>22</v>
      </c>
      <c r="BT180" s="19">
        <f t="shared" si="121"/>
        <v>6.79</v>
      </c>
      <c r="BU180" s="19">
        <f t="shared" si="124"/>
        <v>0.71775898520084558</v>
      </c>
    </row>
    <row r="181" spans="1:73" x14ac:dyDescent="0.25">
      <c r="B181" s="1"/>
      <c r="C181" s="19"/>
      <c r="BT181" s="19"/>
    </row>
    <row r="182" spans="1:73" x14ac:dyDescent="0.25">
      <c r="B182" s="1"/>
      <c r="C182" s="19"/>
      <c r="BT182" s="19"/>
    </row>
    <row r="183" spans="1:73" x14ac:dyDescent="0.25">
      <c r="BT183" s="19"/>
    </row>
    <row r="184" spans="1:73" x14ac:dyDescent="0.25">
      <c r="BT184" s="19"/>
    </row>
    <row r="185" spans="1:73" x14ac:dyDescent="0.25">
      <c r="BT185" s="19"/>
    </row>
    <row r="186" spans="1:73" x14ac:dyDescent="0.25">
      <c r="BT186" s="19"/>
    </row>
  </sheetData>
  <sortState ref="CG47:CG67">
    <sortCondition ref="CG47"/>
  </sortState>
  <mergeCells count="17">
    <mergeCell ref="BE13:BG13"/>
    <mergeCell ref="T14:AA14"/>
    <mergeCell ref="A111:A134"/>
    <mergeCell ref="A135:A158"/>
    <mergeCell ref="AM12:AU12"/>
    <mergeCell ref="AC12:AK12"/>
    <mergeCell ref="S12:AA12"/>
    <mergeCell ref="A39:A45"/>
    <mergeCell ref="A15:A23"/>
    <mergeCell ref="A1:N1"/>
    <mergeCell ref="A159:A180"/>
    <mergeCell ref="AC50:AK50"/>
    <mergeCell ref="A87:A110"/>
    <mergeCell ref="AW14:BB14"/>
    <mergeCell ref="AM48:AR48"/>
    <mergeCell ref="AT48:AY48"/>
    <mergeCell ref="A63:A86"/>
  </mergeCells>
  <hyperlinks>
    <hyperlink ref="B4" r:id="rId1"/>
  </hyperlinks>
  <pageMargins left="0.7" right="0.7" top="0.75" bottom="0.75" header="0.3" footer="0.3"/>
  <pageSetup orientation="portrait" horizontalDpi="300" verticalDpi="300" r:id="rId2"/>
  <ignoredErrors>
    <ignoredError sqref="AX16:AX22" formulaRange="1"/>
  </ignoredError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5"/>
  <sheetViews>
    <sheetView showGridLines="0" zoomScale="80" zoomScaleNormal="80" workbookViewId="0">
      <selection sqref="A1:N1"/>
    </sheetView>
  </sheetViews>
  <sheetFormatPr defaultRowHeight="15" x14ac:dyDescent="0.25"/>
  <cols>
    <col min="2" max="2" width="12.28515625" customWidth="1"/>
    <col min="9" max="11" width="11.140625" customWidth="1"/>
    <col min="13" max="14" width="9.140625" style="179"/>
    <col min="15" max="15" width="10.28515625" style="179" customWidth="1"/>
    <col min="16" max="16" width="11" bestFit="1" customWidth="1"/>
    <col min="17" max="17" width="19.140625" style="144" customWidth="1"/>
    <col min="18" max="18" width="21.42578125" style="144" customWidth="1"/>
    <col min="19" max="19" width="16.140625" style="144" customWidth="1"/>
    <col min="20" max="20" width="20.140625" style="144" customWidth="1"/>
    <col min="21" max="21" width="9.140625" style="144"/>
    <col min="22" max="22" width="18.42578125" style="144" bestFit="1" customWidth="1"/>
    <col min="23" max="23" width="9.140625" style="144"/>
    <col min="24" max="24" width="14.85546875" bestFit="1" customWidth="1"/>
    <col min="25" max="25" width="14" bestFit="1" customWidth="1"/>
    <col min="36" max="36" width="8.7109375" bestFit="1" customWidth="1"/>
    <col min="38" max="38" width="12.42578125" bestFit="1" customWidth="1"/>
    <col min="39" max="39" width="9.140625" style="179"/>
    <col min="40" max="40" width="11.7109375" style="179" customWidth="1"/>
    <col min="42" max="42" width="15.140625" customWidth="1"/>
  </cols>
  <sheetData>
    <row r="1" spans="1:42" ht="36" customHeight="1" x14ac:dyDescent="0.25">
      <c r="A1" s="264" t="s">
        <v>588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184"/>
      <c r="Q1" s="184"/>
      <c r="R1" s="184"/>
      <c r="S1" s="184"/>
      <c r="T1" s="184"/>
      <c r="U1" s="184"/>
      <c r="V1" s="184"/>
      <c r="W1" s="184"/>
      <c r="AM1" s="184"/>
      <c r="AN1" s="184"/>
    </row>
    <row r="2" spans="1:42" x14ac:dyDescent="0.25">
      <c r="M2" s="184"/>
      <c r="N2" s="184"/>
      <c r="O2" s="184"/>
      <c r="Q2" s="184"/>
      <c r="R2" s="184"/>
      <c r="S2" s="184"/>
      <c r="T2" s="184"/>
      <c r="U2" s="184"/>
      <c r="V2" s="184"/>
      <c r="W2" s="184"/>
      <c r="AM2" s="184"/>
      <c r="AN2" s="184"/>
    </row>
    <row r="3" spans="1:42" x14ac:dyDescent="0.25">
      <c r="M3" s="184"/>
      <c r="N3" s="184"/>
      <c r="O3" s="184"/>
      <c r="Q3" s="184"/>
      <c r="R3" s="184"/>
      <c r="S3" s="184"/>
      <c r="T3" s="184"/>
      <c r="U3" s="184"/>
      <c r="V3" s="184"/>
      <c r="W3" s="184"/>
      <c r="AM3" s="184"/>
      <c r="AN3" s="184"/>
    </row>
    <row r="4" spans="1:42" x14ac:dyDescent="0.25">
      <c r="B4" t="s">
        <v>21</v>
      </c>
      <c r="C4" s="58" t="s">
        <v>12</v>
      </c>
    </row>
    <row r="5" spans="1:42" x14ac:dyDescent="0.25">
      <c r="Q5" s="144" t="s">
        <v>470</v>
      </c>
      <c r="R5" s="144" t="s">
        <v>471</v>
      </c>
      <c r="S5"/>
      <c r="T5" s="144" t="s">
        <v>482</v>
      </c>
    </row>
    <row r="6" spans="1:42" ht="15.75" thickBot="1" x14ac:dyDescent="0.3">
      <c r="C6" t="s">
        <v>473</v>
      </c>
      <c r="S6"/>
    </row>
    <row r="7" spans="1:42" ht="15.75" thickTop="1" x14ac:dyDescent="0.25">
      <c r="C7" t="s">
        <v>474</v>
      </c>
      <c r="G7" s="188" t="s">
        <v>476</v>
      </c>
      <c r="H7" s="189">
        <f>Q12-R12*T12</f>
        <v>-1.0192350671213097</v>
      </c>
      <c r="L7" t="s">
        <v>22</v>
      </c>
      <c r="M7" s="31">
        <f>AVERAGE(M15:M132)</f>
        <v>4.9661016949152543</v>
      </c>
      <c r="N7" s="31">
        <f>AVERAGE(N15:N132)</f>
        <v>12.313559322033898</v>
      </c>
      <c r="O7" s="31">
        <f>AVERAGE(O15:O132)</f>
        <v>10.119661016949157</v>
      </c>
      <c r="P7" s="128" t="s">
        <v>411</v>
      </c>
      <c r="Q7" s="31">
        <f>AVERAGE(Q15:Q132)</f>
        <v>15.058282163742607</v>
      </c>
      <c r="R7" s="31">
        <f>AVERAGE(R15:R132)</f>
        <v>13.271929824561393</v>
      </c>
      <c r="S7" s="128" t="s">
        <v>411</v>
      </c>
      <c r="T7" s="31">
        <f>AVERAGE(T15:T132)</f>
        <v>16.76169272217717</v>
      </c>
    </row>
    <row r="8" spans="1:42" x14ac:dyDescent="0.25">
      <c r="C8" t="s">
        <v>475</v>
      </c>
      <c r="G8" s="190" t="s">
        <v>477</v>
      </c>
      <c r="H8" s="191">
        <f>T12</f>
        <v>-0.12834686296202247</v>
      </c>
      <c r="L8" t="s">
        <v>469</v>
      </c>
      <c r="M8" s="31">
        <f>_xlfn.STDEV.S(M15:M132)</f>
        <v>1.4077453841134866</v>
      </c>
      <c r="N8" s="31">
        <f>_xlfn.STDEV.S(N15:N132)</f>
        <v>6.8583957563814932</v>
      </c>
      <c r="O8" s="31">
        <f>_xlfn.STDEV.S(O15:O132)</f>
        <v>1.785476513380881</v>
      </c>
      <c r="P8" s="128" t="s">
        <v>469</v>
      </c>
      <c r="Q8" s="31">
        <f>_xlfn.STDEV.S(Q15:Q132)</f>
        <v>1.1081746808860164</v>
      </c>
      <c r="R8" s="31">
        <f>_xlfn.STDEV.S(R15:R132)</f>
        <v>6.8530130361990587</v>
      </c>
      <c r="S8" s="128" t="s">
        <v>469</v>
      </c>
      <c r="T8" s="31">
        <f>_xlfn.STDEV.S(T15:T132)</f>
        <v>0.67410721408956831</v>
      </c>
    </row>
    <row r="9" spans="1:42" ht="15.75" thickBot="1" x14ac:dyDescent="0.3">
      <c r="G9" s="192" t="s">
        <v>478</v>
      </c>
      <c r="H9" s="193">
        <f>O7-H7*M7-H8*N7</f>
        <v>16.761692722177173</v>
      </c>
      <c r="P9" s="128"/>
      <c r="S9" s="128"/>
    </row>
    <row r="10" spans="1:42" ht="16.5" thickTop="1" thickBot="1" x14ac:dyDescent="0.3">
      <c r="P10" s="128" t="s">
        <v>31</v>
      </c>
      <c r="Q10" s="35">
        <f>CORREL(O15:O132,M15:M132)</f>
        <v>-0.78407945304324711</v>
      </c>
      <c r="R10" s="35">
        <f>CORREL(N15:N132,M15:M132)</f>
        <v>-3.9611327706436703E-2</v>
      </c>
      <c r="S10" s="128" t="s">
        <v>31</v>
      </c>
      <c r="T10" s="35">
        <f>CORREL(R15:R132,Q15:Q132)</f>
        <v>-0.79370404341918299</v>
      </c>
    </row>
    <row r="11" spans="1:42" ht="16.5" thickTop="1" thickBot="1" x14ac:dyDescent="0.3">
      <c r="Q11" s="151" t="s">
        <v>479</v>
      </c>
      <c r="R11" s="151" t="s">
        <v>480</v>
      </c>
      <c r="T11" s="151" t="s">
        <v>481</v>
      </c>
      <c r="AM11" s="179" t="s">
        <v>567</v>
      </c>
      <c r="AN11" s="35">
        <f>1-AN13/AP13</f>
        <v>0.85745576216501596</v>
      </c>
    </row>
    <row r="12" spans="1:42" ht="18" customHeight="1" thickTop="1" thickBot="1" x14ac:dyDescent="0.3">
      <c r="B12" s="277" t="s">
        <v>448</v>
      </c>
      <c r="C12" s="278"/>
      <c r="D12" s="278"/>
      <c r="E12" s="278"/>
      <c r="F12" s="278"/>
      <c r="G12" s="278"/>
      <c r="H12" s="278"/>
      <c r="I12" s="278"/>
      <c r="J12" s="279"/>
      <c r="K12" s="145"/>
      <c r="M12" s="290" t="s">
        <v>463</v>
      </c>
      <c r="N12" s="271"/>
      <c r="O12" s="271"/>
      <c r="P12" s="128"/>
      <c r="Q12" s="152">
        <f>Q10*O8/M8</f>
        <v>-0.99446637426898954</v>
      </c>
      <c r="R12" s="152">
        <f>R10*N8/M8</f>
        <v>-0.19298245614035076</v>
      </c>
      <c r="S12" s="128"/>
      <c r="T12" s="152">
        <f>T10*Q8/R8</f>
        <v>-0.12834686296202247</v>
      </c>
    </row>
    <row r="13" spans="1:42" ht="27" customHeight="1" thickTop="1" x14ac:dyDescent="0.25">
      <c r="B13" s="52" t="s">
        <v>13</v>
      </c>
      <c r="C13" s="146">
        <v>1</v>
      </c>
      <c r="D13" s="146">
        <v>2</v>
      </c>
      <c r="E13" s="146">
        <v>3</v>
      </c>
      <c r="F13" s="146">
        <v>4</v>
      </c>
      <c r="G13" s="146">
        <v>5</v>
      </c>
      <c r="H13" s="146">
        <v>6</v>
      </c>
      <c r="I13" s="146">
        <v>7</v>
      </c>
      <c r="J13" s="22">
        <v>8</v>
      </c>
      <c r="K13" s="146"/>
      <c r="M13" s="271"/>
      <c r="N13" s="271"/>
      <c r="O13" s="271"/>
      <c r="AI13" t="s">
        <v>411</v>
      </c>
      <c r="AJ13" s="19">
        <f>AVERAGE(AJ15:AJ132)</f>
        <v>10.119661016949157</v>
      </c>
      <c r="AM13" s="179" t="s">
        <v>28</v>
      </c>
      <c r="AN13" s="35">
        <f>SUM(AN15:AN132)</f>
        <v>53.167202722249108</v>
      </c>
      <c r="AO13" s="179" t="s">
        <v>28</v>
      </c>
      <c r="AP13" s="35">
        <f>SUM(AP15:AP132)</f>
        <v>372.98738644067794</v>
      </c>
    </row>
    <row r="14" spans="1:42" ht="46.5" customHeight="1" x14ac:dyDescent="0.25">
      <c r="B14" s="150" t="s">
        <v>9</v>
      </c>
      <c r="C14" s="288" t="s">
        <v>11</v>
      </c>
      <c r="D14" s="288"/>
      <c r="E14" s="288"/>
      <c r="F14" s="288"/>
      <c r="G14" s="288"/>
      <c r="H14" s="288"/>
      <c r="I14" s="288"/>
      <c r="J14" s="291"/>
      <c r="K14" s="145"/>
      <c r="M14" s="180" t="s">
        <v>464</v>
      </c>
      <c r="N14" s="149" t="s">
        <v>465</v>
      </c>
      <c r="O14" s="180" t="s">
        <v>466</v>
      </c>
      <c r="Q14" s="33" t="s">
        <v>467</v>
      </c>
      <c r="R14" s="33" t="s">
        <v>468</v>
      </c>
      <c r="T14" s="33" t="s">
        <v>472</v>
      </c>
      <c r="AG14" t="s">
        <v>564</v>
      </c>
      <c r="AH14" s="180" t="str">
        <f>M14</f>
        <v>Season
x1</v>
      </c>
      <c r="AI14" s="180" t="str">
        <f t="shared" ref="AI14:AJ29" si="0">N14</f>
        <v>Episode
x2</v>
      </c>
      <c r="AJ14" s="180" t="str">
        <f t="shared" si="0"/>
        <v>Viewers
y</v>
      </c>
      <c r="AL14" s="57" t="s">
        <v>563</v>
      </c>
      <c r="AM14" s="179" t="s">
        <v>452</v>
      </c>
      <c r="AN14" s="180" t="s">
        <v>565</v>
      </c>
      <c r="AP14" s="180" t="s">
        <v>566</v>
      </c>
    </row>
    <row r="15" spans="1:42" x14ac:dyDescent="0.25">
      <c r="B15" s="52">
        <v>1</v>
      </c>
      <c r="C15" s="53">
        <v>12.6</v>
      </c>
      <c r="D15" s="53">
        <v>12.67</v>
      </c>
      <c r="E15" s="53">
        <v>14.52</v>
      </c>
      <c r="F15" s="53">
        <v>14.44</v>
      </c>
      <c r="G15" s="53">
        <v>11.71</v>
      </c>
      <c r="H15" s="53">
        <v>11.38</v>
      </c>
      <c r="I15" s="53">
        <v>9.4600000000000009</v>
      </c>
      <c r="J15" s="54">
        <v>8.24</v>
      </c>
      <c r="K15" s="53"/>
      <c r="M15" s="148">
        <v>3</v>
      </c>
      <c r="N15" s="179">
        <f>B15</f>
        <v>1</v>
      </c>
      <c r="O15" s="31">
        <f t="shared" ref="O15:O38" si="1">E15</f>
        <v>14.52</v>
      </c>
      <c r="Q15" s="31">
        <f>O15-M15*$Q$12</f>
        <v>17.503399122806968</v>
      </c>
      <c r="R15" s="31">
        <f t="shared" ref="R15:R46" si="2">N15-M15*$R$12</f>
        <v>1.5789473684210522</v>
      </c>
      <c r="T15" s="31">
        <f t="shared" ref="T15:T46" si="3">Q15-R15*$T$12</f>
        <v>17.706052064325952</v>
      </c>
      <c r="V15" t="s">
        <v>376</v>
      </c>
      <c r="W15"/>
      <c r="AG15">
        <v>49</v>
      </c>
      <c r="AH15" s="74">
        <f>M15</f>
        <v>3</v>
      </c>
      <c r="AI15" s="74">
        <f t="shared" si="0"/>
        <v>1</v>
      </c>
      <c r="AJ15" s="31">
        <f t="shared" si="0"/>
        <v>14.52</v>
      </c>
      <c r="AL15" s="35">
        <f>$H$9+AH15*$H$7+AI15*$H$8</f>
        <v>13.575640657851221</v>
      </c>
      <c r="AM15" s="35">
        <f>AL15-AJ15</f>
        <v>-0.94435934214877904</v>
      </c>
      <c r="AN15" s="35">
        <f>AM15^2</f>
        <v>0.89181456710367468</v>
      </c>
      <c r="AP15" s="31">
        <f>(AJ15-$AJ$13)^2</f>
        <v>19.362983165756919</v>
      </c>
    </row>
    <row r="16" spans="1:42" ht="15.75" thickBot="1" x14ac:dyDescent="0.3">
      <c r="B16" s="52">
        <f>B15+1</f>
        <v>2</v>
      </c>
      <c r="C16" s="53">
        <v>9.99</v>
      </c>
      <c r="D16" s="53">
        <v>11.92</v>
      </c>
      <c r="E16" s="53">
        <v>14.54</v>
      </c>
      <c r="F16" s="53">
        <v>12.08</v>
      </c>
      <c r="G16" s="53">
        <v>11.65</v>
      </c>
      <c r="H16" s="53">
        <v>10.56</v>
      </c>
      <c r="I16" s="53">
        <v>8.7200000000000006</v>
      </c>
      <c r="J16" s="54">
        <v>7.41</v>
      </c>
      <c r="K16" s="53"/>
      <c r="M16" s="148">
        <v>3</v>
      </c>
      <c r="N16" s="179">
        <f t="shared" ref="N16:N38" si="4">B16</f>
        <v>2</v>
      </c>
      <c r="O16" s="31">
        <f t="shared" si="1"/>
        <v>14.54</v>
      </c>
      <c r="Q16" s="31">
        <f t="shared" ref="Q16:Q46" si="5">O16-M16*$Q$12</f>
        <v>17.523399122806968</v>
      </c>
      <c r="R16" s="31">
        <f t="shared" si="2"/>
        <v>2.5789473684210522</v>
      </c>
      <c r="T16" s="31">
        <f>Q16-R16*$T$12</f>
        <v>17.854398927287974</v>
      </c>
      <c r="V16"/>
      <c r="W16"/>
      <c r="AG16">
        <v>50</v>
      </c>
      <c r="AH16" s="74">
        <f t="shared" ref="AH16:AH79" si="6">M16</f>
        <v>3</v>
      </c>
      <c r="AI16" s="74">
        <f t="shared" ref="AI16:AJ79" si="7">N16</f>
        <v>2</v>
      </c>
      <c r="AJ16" s="31">
        <f t="shared" si="0"/>
        <v>14.54</v>
      </c>
      <c r="AL16" s="35">
        <f t="shared" ref="AL16:AL79" si="8">$H$9+AH16*$H$7+AI16*$H$8</f>
        <v>13.447293794889198</v>
      </c>
      <c r="AM16" s="35">
        <f t="shared" ref="AM16:AM79" si="9">AL16-AJ16</f>
        <v>-1.092706205110801</v>
      </c>
      <c r="AN16" s="35">
        <f t="shared" ref="AN16:AN79" si="10">AM16^2</f>
        <v>1.1940068506876478</v>
      </c>
      <c r="AP16" s="31">
        <f t="shared" ref="AP16:AP79" si="11">(AJ16-$AJ$13)^2</f>
        <v>19.539396725078948</v>
      </c>
    </row>
    <row r="17" spans="2:42" x14ac:dyDescent="0.25">
      <c r="B17" s="52">
        <f t="shared" ref="B17:B38" si="12">B16+1</f>
        <v>3</v>
      </c>
      <c r="C17" s="53">
        <v>8.82</v>
      </c>
      <c r="D17" s="53">
        <v>11.44</v>
      </c>
      <c r="E17" s="53">
        <v>13.45</v>
      </c>
      <c r="F17" s="53">
        <v>12.31</v>
      </c>
      <c r="G17" s="53">
        <v>11.12</v>
      </c>
      <c r="H17" s="53">
        <v>10.3</v>
      </c>
      <c r="I17" s="53">
        <v>7.99</v>
      </c>
      <c r="J17" s="54">
        <v>6.97</v>
      </c>
      <c r="K17" s="53"/>
      <c r="M17" s="148">
        <v>3</v>
      </c>
      <c r="N17" s="179">
        <f t="shared" si="4"/>
        <v>3</v>
      </c>
      <c r="O17" s="31">
        <f t="shared" si="1"/>
        <v>13.45</v>
      </c>
      <c r="Q17" s="31">
        <f t="shared" si="5"/>
        <v>16.433399122806968</v>
      </c>
      <c r="R17" s="31">
        <f t="shared" si="2"/>
        <v>3.5789473684210522</v>
      </c>
      <c r="T17" s="31">
        <f t="shared" si="3"/>
        <v>16.892745790249997</v>
      </c>
      <c r="V17" s="90" t="s">
        <v>377</v>
      </c>
      <c r="W17" s="90"/>
      <c r="AG17">
        <v>51</v>
      </c>
      <c r="AH17" s="74">
        <f t="shared" si="6"/>
        <v>3</v>
      </c>
      <c r="AI17" s="74">
        <f t="shared" si="7"/>
        <v>3</v>
      </c>
      <c r="AJ17" s="31">
        <f t="shared" si="0"/>
        <v>13.45</v>
      </c>
      <c r="AL17" s="35">
        <f t="shared" si="8"/>
        <v>13.318946931927176</v>
      </c>
      <c r="AM17" s="35">
        <f t="shared" si="9"/>
        <v>-0.13105306807282346</v>
      </c>
      <c r="AN17" s="35">
        <f t="shared" si="10"/>
        <v>1.7174906651300101E-2</v>
      </c>
      <c r="AP17" s="31">
        <f t="shared" si="11"/>
        <v>11.091157742028116</v>
      </c>
    </row>
    <row r="18" spans="2:42" x14ac:dyDescent="0.25">
      <c r="B18" s="52">
        <f t="shared" si="12"/>
        <v>4</v>
      </c>
      <c r="C18" s="53">
        <v>9.35</v>
      </c>
      <c r="D18" s="53">
        <v>11.45</v>
      </c>
      <c r="E18" s="53">
        <v>13.24</v>
      </c>
      <c r="F18" s="53">
        <v>12.28</v>
      </c>
      <c r="G18" s="53">
        <v>10.64</v>
      </c>
      <c r="H18" s="53">
        <v>9.7100000000000009</v>
      </c>
      <c r="I18" s="53">
        <v>7.88</v>
      </c>
      <c r="J18" s="54">
        <v>7.5</v>
      </c>
      <c r="K18" s="53"/>
      <c r="M18" s="148">
        <v>3</v>
      </c>
      <c r="N18" s="179">
        <f t="shared" si="4"/>
        <v>4</v>
      </c>
      <c r="O18" s="31">
        <f t="shared" si="1"/>
        <v>13.24</v>
      </c>
      <c r="Q18" s="31">
        <f t="shared" si="5"/>
        <v>16.223399122806967</v>
      </c>
      <c r="R18" s="31">
        <f t="shared" si="2"/>
        <v>4.5789473684210522</v>
      </c>
      <c r="T18" s="31">
        <f t="shared" si="3"/>
        <v>16.811092653212018</v>
      </c>
      <c r="V18" s="84" t="s">
        <v>378</v>
      </c>
      <c r="W18" s="84">
        <v>0.92598907237883532</v>
      </c>
      <c r="AG18">
        <v>52</v>
      </c>
      <c r="AH18" s="74">
        <f t="shared" si="6"/>
        <v>3</v>
      </c>
      <c r="AI18" s="74">
        <f t="shared" si="7"/>
        <v>4</v>
      </c>
      <c r="AJ18" s="31">
        <f t="shared" si="0"/>
        <v>13.24</v>
      </c>
      <c r="AL18" s="35">
        <f t="shared" si="8"/>
        <v>13.190600068965153</v>
      </c>
      <c r="AM18" s="35">
        <f t="shared" si="9"/>
        <v>-4.9399931034846745E-2</v>
      </c>
      <c r="AN18" s="35">
        <f t="shared" si="10"/>
        <v>2.4403531862476147E-3</v>
      </c>
      <c r="AP18" s="31">
        <f t="shared" si="11"/>
        <v>9.7365153691467672</v>
      </c>
    </row>
    <row r="19" spans="2:42" x14ac:dyDescent="0.25">
      <c r="B19" s="52">
        <f t="shared" si="12"/>
        <v>5</v>
      </c>
      <c r="C19" s="53">
        <v>8.66</v>
      </c>
      <c r="D19" s="53">
        <v>11.97</v>
      </c>
      <c r="E19" s="53">
        <v>13.65</v>
      </c>
      <c r="F19" s="53">
        <v>12.52</v>
      </c>
      <c r="G19" s="53">
        <v>10.94</v>
      </c>
      <c r="H19" s="53">
        <v>10.16</v>
      </c>
      <c r="I19" s="53">
        <v>7.8</v>
      </c>
      <c r="J19" s="54">
        <v>7.38</v>
      </c>
      <c r="K19" s="53"/>
      <c r="M19" s="148">
        <v>3</v>
      </c>
      <c r="N19" s="179">
        <f t="shared" si="4"/>
        <v>5</v>
      </c>
      <c r="O19" s="31">
        <f t="shared" si="1"/>
        <v>13.65</v>
      </c>
      <c r="Q19" s="31">
        <f t="shared" si="5"/>
        <v>16.633399122806971</v>
      </c>
      <c r="R19" s="31">
        <f t="shared" si="2"/>
        <v>5.5789473684210522</v>
      </c>
      <c r="T19" s="31">
        <f t="shared" si="3"/>
        <v>17.349439516174044</v>
      </c>
      <c r="V19" s="84" t="s">
        <v>379</v>
      </c>
      <c r="W19" s="84">
        <v>0.85745576216501596</v>
      </c>
      <c r="AG19">
        <v>53</v>
      </c>
      <c r="AH19" s="74">
        <f t="shared" si="6"/>
        <v>3</v>
      </c>
      <c r="AI19" s="74">
        <f t="shared" si="7"/>
        <v>5</v>
      </c>
      <c r="AJ19" s="31">
        <f t="shared" si="0"/>
        <v>13.65</v>
      </c>
      <c r="AL19" s="35">
        <f t="shared" si="8"/>
        <v>13.062253206003131</v>
      </c>
      <c r="AM19" s="35">
        <f t="shared" si="9"/>
        <v>-0.58774679399686924</v>
      </c>
      <c r="AN19" s="35">
        <f t="shared" si="10"/>
        <v>0.34544629385359826</v>
      </c>
      <c r="AP19" s="31">
        <f t="shared" si="11"/>
        <v>12.46329333524846</v>
      </c>
    </row>
    <row r="20" spans="2:42" x14ac:dyDescent="0.25">
      <c r="B20" s="52">
        <f t="shared" si="12"/>
        <v>6</v>
      </c>
      <c r="C20" s="53">
        <v>9.32</v>
      </c>
      <c r="D20" s="53">
        <v>13.14</v>
      </c>
      <c r="E20" s="53">
        <v>13.04</v>
      </c>
      <c r="F20" s="53">
        <v>10.62</v>
      </c>
      <c r="G20" s="53">
        <v>10.32</v>
      </c>
      <c r="H20" s="53">
        <v>9.92</v>
      </c>
      <c r="I20" s="53">
        <v>8.15</v>
      </c>
      <c r="J20" s="54">
        <v>7.23</v>
      </c>
      <c r="K20" s="53"/>
      <c r="M20" s="148">
        <v>3</v>
      </c>
      <c r="N20" s="179">
        <f t="shared" si="4"/>
        <v>6</v>
      </c>
      <c r="O20" s="31">
        <f t="shared" si="1"/>
        <v>13.04</v>
      </c>
      <c r="Q20" s="31">
        <f t="shared" si="5"/>
        <v>16.023399122806968</v>
      </c>
      <c r="R20" s="31">
        <f t="shared" si="2"/>
        <v>6.5789473684210522</v>
      </c>
      <c r="T20" s="31">
        <f t="shared" si="3"/>
        <v>16.867786379136064</v>
      </c>
      <c r="V20" s="84" t="s">
        <v>380</v>
      </c>
      <c r="W20" s="84">
        <v>0.8549767319417988</v>
      </c>
      <c r="AG20">
        <v>54</v>
      </c>
      <c r="AH20" s="74">
        <f t="shared" si="6"/>
        <v>3</v>
      </c>
      <c r="AI20" s="74">
        <f t="shared" si="7"/>
        <v>6</v>
      </c>
      <c r="AJ20" s="31">
        <f t="shared" si="0"/>
        <v>13.04</v>
      </c>
      <c r="AL20" s="35">
        <f t="shared" si="8"/>
        <v>12.933906343041109</v>
      </c>
      <c r="AM20" s="35">
        <f t="shared" si="9"/>
        <v>-0.10609365695889039</v>
      </c>
      <c r="AN20" s="35">
        <f t="shared" si="10"/>
        <v>1.1255864046910712E-2</v>
      </c>
      <c r="AP20" s="31">
        <f t="shared" si="11"/>
        <v>8.5283797759264246</v>
      </c>
    </row>
    <row r="21" spans="2:42" x14ac:dyDescent="0.25">
      <c r="B21" s="52">
        <f t="shared" si="12"/>
        <v>7</v>
      </c>
      <c r="C21" s="53">
        <v>8.77</v>
      </c>
      <c r="D21" s="53">
        <v>12.24</v>
      </c>
      <c r="E21" s="53">
        <v>13.37</v>
      </c>
      <c r="F21" s="53">
        <v>12.43</v>
      </c>
      <c r="G21" s="53">
        <v>10.75</v>
      </c>
      <c r="H21" s="53">
        <v>9.83</v>
      </c>
      <c r="I21" s="53">
        <v>8.3800000000000008</v>
      </c>
      <c r="J21" s="54">
        <v>7.33</v>
      </c>
      <c r="K21" s="53"/>
      <c r="M21" s="148">
        <v>3</v>
      </c>
      <c r="N21" s="179">
        <f t="shared" si="4"/>
        <v>7</v>
      </c>
      <c r="O21" s="31">
        <f t="shared" si="1"/>
        <v>13.37</v>
      </c>
      <c r="Q21" s="31">
        <f t="shared" si="5"/>
        <v>16.35339912280697</v>
      </c>
      <c r="R21" s="31">
        <f t="shared" si="2"/>
        <v>7.5789473684210522</v>
      </c>
      <c r="T21" s="31">
        <f t="shared" si="3"/>
        <v>17.326133242098088</v>
      </c>
      <c r="V21" s="84" t="s">
        <v>381</v>
      </c>
      <c r="W21" s="84">
        <v>0.67994374909443855</v>
      </c>
      <c r="AG21">
        <v>55</v>
      </c>
      <c r="AH21" s="74">
        <f t="shared" si="6"/>
        <v>3</v>
      </c>
      <c r="AI21" s="74">
        <f t="shared" si="7"/>
        <v>7</v>
      </c>
      <c r="AJ21" s="31">
        <f t="shared" si="0"/>
        <v>13.37</v>
      </c>
      <c r="AL21" s="35">
        <f t="shared" si="8"/>
        <v>12.805559480079086</v>
      </c>
      <c r="AM21" s="35">
        <f t="shared" si="9"/>
        <v>-0.56444051992091282</v>
      </c>
      <c r="AN21" s="35">
        <f t="shared" si="10"/>
        <v>0.31859310052859036</v>
      </c>
      <c r="AP21" s="31">
        <f t="shared" si="11"/>
        <v>10.564703504739981</v>
      </c>
    </row>
    <row r="22" spans="2:42" ht="15.75" thickBot="1" x14ac:dyDescent="0.3">
      <c r="B22" s="52">
        <f t="shared" si="12"/>
        <v>8</v>
      </c>
      <c r="C22" s="53">
        <v>9.16</v>
      </c>
      <c r="D22" s="53">
        <v>12.09</v>
      </c>
      <c r="E22" s="53">
        <v>12.91</v>
      </c>
      <c r="F22" s="53">
        <v>11.89</v>
      </c>
      <c r="G22" s="53">
        <v>10.19</v>
      </c>
      <c r="H22" s="53">
        <v>10.88</v>
      </c>
      <c r="I22" s="53">
        <v>7.35</v>
      </c>
      <c r="J22" s="54">
        <v>6.81</v>
      </c>
      <c r="K22" s="53"/>
      <c r="M22" s="148">
        <v>3</v>
      </c>
      <c r="N22" s="179">
        <f t="shared" si="4"/>
        <v>8</v>
      </c>
      <c r="O22" s="31">
        <f t="shared" si="1"/>
        <v>12.91</v>
      </c>
      <c r="Q22" s="31">
        <f t="shared" si="5"/>
        <v>15.893399122806969</v>
      </c>
      <c r="R22" s="31">
        <f t="shared" si="2"/>
        <v>8.5789473684210513</v>
      </c>
      <c r="T22" s="31">
        <f t="shared" si="3"/>
        <v>16.994480105060109</v>
      </c>
      <c r="V22" s="85" t="s">
        <v>382</v>
      </c>
      <c r="W22" s="85">
        <v>118</v>
      </c>
      <c r="AG22">
        <v>56</v>
      </c>
      <c r="AH22" s="74">
        <f t="shared" si="6"/>
        <v>3</v>
      </c>
      <c r="AI22" s="74">
        <f t="shared" si="7"/>
        <v>8</v>
      </c>
      <c r="AJ22" s="31">
        <f t="shared" si="0"/>
        <v>12.91</v>
      </c>
      <c r="AL22" s="35">
        <f t="shared" si="8"/>
        <v>12.677212617117064</v>
      </c>
      <c r="AM22" s="35">
        <f t="shared" si="9"/>
        <v>-0.2327873828829361</v>
      </c>
      <c r="AN22" s="35">
        <f t="shared" si="10"/>
        <v>5.4189965629486692E-2</v>
      </c>
      <c r="AP22" s="31">
        <f t="shared" si="11"/>
        <v>7.7859916403332114</v>
      </c>
    </row>
    <row r="23" spans="2:42" x14ac:dyDescent="0.25">
      <c r="B23" s="52">
        <f t="shared" si="12"/>
        <v>9</v>
      </c>
      <c r="C23" s="53">
        <v>7.12</v>
      </c>
      <c r="D23" s="53">
        <v>10.57</v>
      </c>
      <c r="E23" s="53">
        <v>12.72</v>
      </c>
      <c r="F23" s="53">
        <v>12.01</v>
      </c>
      <c r="G23" s="53">
        <v>9.4700000000000006</v>
      </c>
      <c r="H23" s="53">
        <v>9.02</v>
      </c>
      <c r="I23" s="53">
        <v>8.1999999999999993</v>
      </c>
      <c r="J23" s="54">
        <v>6.81</v>
      </c>
      <c r="K23" s="53"/>
      <c r="M23" s="148">
        <v>3</v>
      </c>
      <c r="N23" s="179">
        <f t="shared" si="4"/>
        <v>9</v>
      </c>
      <c r="O23" s="31">
        <f t="shared" si="1"/>
        <v>12.72</v>
      </c>
      <c r="Q23" s="31">
        <f t="shared" si="5"/>
        <v>15.703399122806969</v>
      </c>
      <c r="R23" s="31">
        <f t="shared" si="2"/>
        <v>9.5789473684210513</v>
      </c>
      <c r="T23" s="31">
        <f t="shared" si="3"/>
        <v>16.93282696802213</v>
      </c>
      <c r="V23"/>
      <c r="W23"/>
      <c r="AG23">
        <v>57</v>
      </c>
      <c r="AH23" s="74">
        <f t="shared" si="6"/>
        <v>3</v>
      </c>
      <c r="AI23" s="74">
        <f t="shared" si="7"/>
        <v>9</v>
      </c>
      <c r="AJ23" s="31">
        <f t="shared" si="0"/>
        <v>12.72</v>
      </c>
      <c r="AL23" s="35">
        <f t="shared" si="8"/>
        <v>12.548865754155042</v>
      </c>
      <c r="AM23" s="35">
        <f t="shared" si="9"/>
        <v>-0.17113424584495895</v>
      </c>
      <c r="AN23" s="35">
        <f t="shared" si="10"/>
        <v>2.9286930100922853E-2</v>
      </c>
      <c r="AP23" s="31">
        <f t="shared" si="11"/>
        <v>6.7617628267738938</v>
      </c>
    </row>
    <row r="24" spans="2:42" ht="15.75" thickBot="1" x14ac:dyDescent="0.3">
      <c r="B24" s="52">
        <f t="shared" si="12"/>
        <v>10</v>
      </c>
      <c r="C24" s="53">
        <v>9.67</v>
      </c>
      <c r="D24" s="53">
        <v>11.07</v>
      </c>
      <c r="E24" s="53">
        <v>12.2</v>
      </c>
      <c r="F24" s="53">
        <v>10.94</v>
      </c>
      <c r="G24" s="53">
        <v>10.61</v>
      </c>
      <c r="H24" s="53">
        <v>9.69</v>
      </c>
      <c r="I24" s="53">
        <v>8.35</v>
      </c>
      <c r="J24" s="54">
        <v>7.57</v>
      </c>
      <c r="K24" s="53"/>
      <c r="M24" s="148">
        <v>3</v>
      </c>
      <c r="N24" s="179">
        <f t="shared" si="4"/>
        <v>10</v>
      </c>
      <c r="O24" s="31">
        <f t="shared" si="1"/>
        <v>12.2</v>
      </c>
      <c r="Q24" s="31">
        <f t="shared" si="5"/>
        <v>15.183399122806968</v>
      </c>
      <c r="R24" s="31">
        <f t="shared" si="2"/>
        <v>10.578947368421051</v>
      </c>
      <c r="T24" s="31">
        <f t="shared" si="3"/>
        <v>16.541173830984153</v>
      </c>
      <c r="V24" t="s">
        <v>383</v>
      </c>
      <c r="W24"/>
      <c r="AG24">
        <v>58</v>
      </c>
      <c r="AH24" s="74">
        <f t="shared" si="6"/>
        <v>3</v>
      </c>
      <c r="AI24" s="74">
        <f t="shared" si="7"/>
        <v>10</v>
      </c>
      <c r="AJ24" s="31">
        <f t="shared" si="0"/>
        <v>12.2</v>
      </c>
      <c r="AL24" s="35">
        <f t="shared" si="8"/>
        <v>12.420518891193018</v>
      </c>
      <c r="AM24" s="35">
        <f t="shared" si="9"/>
        <v>0.22051889119301826</v>
      </c>
      <c r="AN24" s="35">
        <f t="shared" si="10"/>
        <v>4.8628581372998227E-2</v>
      </c>
      <c r="AP24" s="31">
        <f t="shared" si="11"/>
        <v>4.3278102844010107</v>
      </c>
    </row>
    <row r="25" spans="2:42" x14ac:dyDescent="0.25">
      <c r="B25" s="52">
        <f t="shared" si="12"/>
        <v>11</v>
      </c>
      <c r="C25" s="53">
        <v>10.220000000000001</v>
      </c>
      <c r="D25" s="53">
        <v>11.83</v>
      </c>
      <c r="E25" s="53">
        <v>14.03</v>
      </c>
      <c r="F25" s="53">
        <v>12.04</v>
      </c>
      <c r="G25" s="53">
        <v>9.51</v>
      </c>
      <c r="H25" s="53">
        <v>9.2899999999999991</v>
      </c>
      <c r="I25" s="53">
        <v>8.17</v>
      </c>
      <c r="J25" s="54">
        <v>7.59</v>
      </c>
      <c r="K25" s="53"/>
      <c r="M25" s="148">
        <v>3</v>
      </c>
      <c r="N25" s="179">
        <f t="shared" si="4"/>
        <v>11</v>
      </c>
      <c r="O25" s="31">
        <f t="shared" si="1"/>
        <v>14.03</v>
      </c>
      <c r="Q25" s="31">
        <f t="shared" si="5"/>
        <v>17.013399122806966</v>
      </c>
      <c r="R25" s="31">
        <f t="shared" si="2"/>
        <v>11.578947368421051</v>
      </c>
      <c r="T25" s="31">
        <f t="shared" si="3"/>
        <v>18.499520693946174</v>
      </c>
      <c r="V25" s="86"/>
      <c r="W25" s="86" t="s">
        <v>385</v>
      </c>
      <c r="X25" s="86" t="s">
        <v>386</v>
      </c>
      <c r="Y25" s="86" t="s">
        <v>387</v>
      </c>
      <c r="Z25" s="86" t="s">
        <v>388</v>
      </c>
      <c r="AA25" s="86" t="s">
        <v>389</v>
      </c>
      <c r="AG25">
        <v>59</v>
      </c>
      <c r="AH25" s="74">
        <f t="shared" si="6"/>
        <v>3</v>
      </c>
      <c r="AI25" s="74">
        <f t="shared" si="7"/>
        <v>11</v>
      </c>
      <c r="AJ25" s="31">
        <f t="shared" si="0"/>
        <v>14.03</v>
      </c>
      <c r="AL25" s="35">
        <f t="shared" si="8"/>
        <v>12.292172028230995</v>
      </c>
      <c r="AM25" s="35">
        <f t="shared" si="9"/>
        <v>-1.7378279717690042</v>
      </c>
      <c r="AN25" s="35">
        <f t="shared" si="10"/>
        <v>3.0200460594627709</v>
      </c>
      <c r="AP25" s="31">
        <f t="shared" si="11"/>
        <v>15.290750962367092</v>
      </c>
    </row>
    <row r="26" spans="2:42" x14ac:dyDescent="0.25">
      <c r="B26" s="52">
        <f t="shared" si="12"/>
        <v>12</v>
      </c>
      <c r="C26" s="53">
        <v>7.83</v>
      </c>
      <c r="D26" s="53">
        <v>11.12</v>
      </c>
      <c r="E26" s="53">
        <v>12.12</v>
      </c>
      <c r="F26" s="53">
        <v>11.01</v>
      </c>
      <c r="G26" s="53">
        <v>9.14</v>
      </c>
      <c r="H26" s="53">
        <v>9.44</v>
      </c>
      <c r="I26" s="53">
        <v>7.8</v>
      </c>
      <c r="J26" s="54"/>
      <c r="K26" s="53"/>
      <c r="M26" s="148">
        <v>3</v>
      </c>
      <c r="N26" s="179">
        <f t="shared" si="4"/>
        <v>12</v>
      </c>
      <c r="O26" s="31">
        <f t="shared" si="1"/>
        <v>12.12</v>
      </c>
      <c r="Q26" s="31">
        <f t="shared" si="5"/>
        <v>15.103399122806968</v>
      </c>
      <c r="R26" s="31">
        <f t="shared" si="2"/>
        <v>12.578947368421051</v>
      </c>
      <c r="T26" s="31">
        <f t="shared" si="3"/>
        <v>16.717867556908196</v>
      </c>
      <c r="V26" s="84" t="s">
        <v>351</v>
      </c>
      <c r="W26" s="84">
        <v>2</v>
      </c>
      <c r="X26" s="84">
        <v>319.82018371842884</v>
      </c>
      <c r="Y26" s="84">
        <v>159.91009185921442</v>
      </c>
      <c r="Z26" s="84">
        <v>345.88354515995752</v>
      </c>
      <c r="AA26" s="84">
        <v>2.2496026098789317E-49</v>
      </c>
      <c r="AG26">
        <v>60</v>
      </c>
      <c r="AH26" s="74">
        <f t="shared" si="6"/>
        <v>3</v>
      </c>
      <c r="AI26" s="74">
        <f t="shared" si="7"/>
        <v>12</v>
      </c>
      <c r="AJ26" s="31">
        <f t="shared" si="0"/>
        <v>12.12</v>
      </c>
      <c r="AL26" s="35">
        <f t="shared" si="8"/>
        <v>12.163825165268973</v>
      </c>
      <c r="AM26" s="35">
        <f t="shared" si="9"/>
        <v>4.382516526897362E-2</v>
      </c>
      <c r="AN26" s="35">
        <f t="shared" si="10"/>
        <v>1.9206451108528518E-3</v>
      </c>
      <c r="AP26" s="31">
        <f t="shared" si="11"/>
        <v>4.0013560471128757</v>
      </c>
    </row>
    <row r="27" spans="2:42" x14ac:dyDescent="0.25">
      <c r="B27" s="52">
        <f t="shared" si="12"/>
        <v>13</v>
      </c>
      <c r="C27" s="53">
        <v>9.83</v>
      </c>
      <c r="D27" s="53">
        <v>10.98</v>
      </c>
      <c r="E27" s="53">
        <v>11.89</v>
      </c>
      <c r="F27" s="53">
        <v>10.83</v>
      </c>
      <c r="G27" s="53">
        <v>9.59</v>
      </c>
      <c r="H27" s="53">
        <v>9.8699999999999992</v>
      </c>
      <c r="I27" s="53">
        <v>7.48</v>
      </c>
      <c r="J27" s="54"/>
      <c r="K27" s="53"/>
      <c r="M27" s="148">
        <v>3</v>
      </c>
      <c r="N27" s="179">
        <f t="shared" si="4"/>
        <v>13</v>
      </c>
      <c r="O27" s="31">
        <f t="shared" si="1"/>
        <v>11.89</v>
      </c>
      <c r="Q27" s="31">
        <f t="shared" si="5"/>
        <v>14.873399122806969</v>
      </c>
      <c r="R27" s="31">
        <f t="shared" si="2"/>
        <v>13.578947368421051</v>
      </c>
      <c r="T27" s="31">
        <f t="shared" si="3"/>
        <v>16.616214419870222</v>
      </c>
      <c r="V27" s="84" t="s">
        <v>384</v>
      </c>
      <c r="W27" s="84">
        <v>115</v>
      </c>
      <c r="X27" s="84">
        <v>53.167202722249087</v>
      </c>
      <c r="Y27" s="84">
        <v>0.46232350193260074</v>
      </c>
      <c r="Z27" s="84"/>
      <c r="AA27" s="84"/>
      <c r="AG27">
        <v>61</v>
      </c>
      <c r="AH27" s="74">
        <f t="shared" si="6"/>
        <v>3</v>
      </c>
      <c r="AI27" s="74">
        <f t="shared" si="7"/>
        <v>13</v>
      </c>
      <c r="AJ27" s="31">
        <f t="shared" si="0"/>
        <v>11.89</v>
      </c>
      <c r="AL27" s="35">
        <f t="shared" si="8"/>
        <v>12.03547830230695</v>
      </c>
      <c r="AM27" s="35">
        <f t="shared" si="9"/>
        <v>0.14547830230694991</v>
      </c>
      <c r="AN27" s="35">
        <f t="shared" si="10"/>
        <v>2.116393644211231E-2</v>
      </c>
      <c r="AP27" s="31">
        <f t="shared" si="11"/>
        <v>3.1341001149094936</v>
      </c>
    </row>
    <row r="28" spans="2:42" ht="15.75" thickBot="1" x14ac:dyDescent="0.3">
      <c r="B28" s="52">
        <f t="shared" si="12"/>
        <v>14</v>
      </c>
      <c r="C28" s="53">
        <v>9.19</v>
      </c>
      <c r="D28" s="53">
        <v>13.16</v>
      </c>
      <c r="E28" s="53">
        <v>12.9</v>
      </c>
      <c r="F28" s="53">
        <v>9.83</v>
      </c>
      <c r="G28" s="53">
        <v>9.8699999999999992</v>
      </c>
      <c r="H28" s="53">
        <v>9.77</v>
      </c>
      <c r="I28" s="53">
        <v>8.1</v>
      </c>
      <c r="J28" s="54"/>
      <c r="K28" s="53"/>
      <c r="M28" s="148">
        <v>3</v>
      </c>
      <c r="N28" s="179">
        <f t="shared" si="4"/>
        <v>14</v>
      </c>
      <c r="O28" s="31">
        <f t="shared" si="1"/>
        <v>12.9</v>
      </c>
      <c r="Q28" s="31">
        <f t="shared" si="5"/>
        <v>15.883399122806969</v>
      </c>
      <c r="R28" s="31">
        <f t="shared" si="2"/>
        <v>14.578947368421051</v>
      </c>
      <c r="T28" s="31">
        <f t="shared" si="3"/>
        <v>17.754561282832242</v>
      </c>
      <c r="V28" s="85" t="s">
        <v>4</v>
      </c>
      <c r="W28" s="85">
        <v>117</v>
      </c>
      <c r="X28" s="85">
        <v>372.98738644067794</v>
      </c>
      <c r="Y28" s="85"/>
      <c r="Z28" s="85"/>
      <c r="AA28" s="85"/>
      <c r="AG28">
        <v>62</v>
      </c>
      <c r="AH28" s="74">
        <f t="shared" si="6"/>
        <v>3</v>
      </c>
      <c r="AI28" s="74">
        <f t="shared" si="7"/>
        <v>14</v>
      </c>
      <c r="AJ28" s="31">
        <f t="shared" si="0"/>
        <v>12.9</v>
      </c>
      <c r="AL28" s="35">
        <f t="shared" si="8"/>
        <v>11.907131439344928</v>
      </c>
      <c r="AM28" s="35">
        <f t="shared" si="9"/>
        <v>-0.99286856065507223</v>
      </c>
      <c r="AN28" s="35">
        <f t="shared" si="10"/>
        <v>0.98578797873727486</v>
      </c>
      <c r="AP28" s="31">
        <f t="shared" si="11"/>
        <v>7.730284860672195</v>
      </c>
    </row>
    <row r="29" spans="2:42" ht="15.75" thickBot="1" x14ac:dyDescent="0.3">
      <c r="B29" s="52">
        <f t="shared" si="12"/>
        <v>15</v>
      </c>
      <c r="C29" s="53">
        <v>9.84</v>
      </c>
      <c r="D29" s="53">
        <v>10.57</v>
      </c>
      <c r="E29" s="53">
        <v>11.23</v>
      </c>
      <c r="F29" s="53">
        <v>10.050000000000001</v>
      </c>
      <c r="G29" s="53">
        <v>8.52</v>
      </c>
      <c r="H29" s="53">
        <v>8.8000000000000007</v>
      </c>
      <c r="I29" s="53">
        <v>8.2200000000000006</v>
      </c>
      <c r="J29" s="54"/>
      <c r="K29" s="53"/>
      <c r="M29" s="148">
        <v>3</v>
      </c>
      <c r="N29" s="179">
        <f t="shared" si="4"/>
        <v>15</v>
      </c>
      <c r="O29" s="31">
        <f t="shared" si="1"/>
        <v>11.23</v>
      </c>
      <c r="Q29" s="31">
        <f t="shared" si="5"/>
        <v>14.213399122806969</v>
      </c>
      <c r="R29" s="31">
        <f t="shared" si="2"/>
        <v>15.578947368421051</v>
      </c>
      <c r="T29" s="31">
        <f t="shared" si="3"/>
        <v>16.212908145794266</v>
      </c>
      <c r="V29"/>
      <c r="W29"/>
      <c r="AG29">
        <v>63</v>
      </c>
      <c r="AH29" s="74">
        <f t="shared" si="6"/>
        <v>3</v>
      </c>
      <c r="AI29" s="74">
        <f t="shared" si="7"/>
        <v>15</v>
      </c>
      <c r="AJ29" s="31">
        <f t="shared" si="0"/>
        <v>11.23</v>
      </c>
      <c r="AL29" s="35">
        <f t="shared" si="8"/>
        <v>11.778784576382906</v>
      </c>
      <c r="AM29" s="35">
        <f t="shared" si="9"/>
        <v>0.54878457638290534</v>
      </c>
      <c r="AN29" s="35">
        <f t="shared" si="10"/>
        <v>0.30116451127576488</v>
      </c>
      <c r="AP29" s="31">
        <f t="shared" si="11"/>
        <v>1.2328526572823801</v>
      </c>
    </row>
    <row r="30" spans="2:42" x14ac:dyDescent="0.25">
      <c r="B30" s="52">
        <f t="shared" si="12"/>
        <v>16</v>
      </c>
      <c r="C30" s="53">
        <v>8.01</v>
      </c>
      <c r="D30" s="53">
        <v>10.17</v>
      </c>
      <c r="E30" s="53">
        <v>11.54</v>
      </c>
      <c r="F30" s="53">
        <v>10.62</v>
      </c>
      <c r="G30" s="53">
        <v>9.2200000000000006</v>
      </c>
      <c r="H30" s="53">
        <v>9.32</v>
      </c>
      <c r="I30" s="53">
        <v>8.14</v>
      </c>
      <c r="J30" s="54"/>
      <c r="K30" s="53"/>
      <c r="M30" s="148">
        <v>3</v>
      </c>
      <c r="N30" s="179">
        <f t="shared" si="4"/>
        <v>16</v>
      </c>
      <c r="O30" s="31">
        <f t="shared" si="1"/>
        <v>11.54</v>
      </c>
      <c r="Q30" s="31">
        <f t="shared" si="5"/>
        <v>14.523399122806968</v>
      </c>
      <c r="R30" s="31">
        <f t="shared" si="2"/>
        <v>16.578947368421051</v>
      </c>
      <c r="T30" s="31">
        <f t="shared" si="3"/>
        <v>16.651255008756287</v>
      </c>
      <c r="V30" s="86"/>
      <c r="W30" s="86" t="s">
        <v>390</v>
      </c>
      <c r="X30" s="86" t="s">
        <v>381</v>
      </c>
      <c r="Y30" s="86" t="s">
        <v>391</v>
      </c>
      <c r="Z30" s="86" t="s">
        <v>392</v>
      </c>
      <c r="AA30" s="86" t="s">
        <v>393</v>
      </c>
      <c r="AB30" s="86" t="s">
        <v>394</v>
      </c>
      <c r="AC30" s="86" t="s">
        <v>395</v>
      </c>
      <c r="AD30" s="86" t="s">
        <v>396</v>
      </c>
      <c r="AG30">
        <v>64</v>
      </c>
      <c r="AH30" s="74">
        <f t="shared" si="6"/>
        <v>3</v>
      </c>
      <c r="AI30" s="74">
        <f t="shared" si="7"/>
        <v>16</v>
      </c>
      <c r="AJ30" s="31">
        <f t="shared" si="7"/>
        <v>11.54</v>
      </c>
      <c r="AL30" s="35">
        <f t="shared" si="8"/>
        <v>11.650437713420883</v>
      </c>
      <c r="AM30" s="35">
        <f t="shared" si="9"/>
        <v>0.11043771342088426</v>
      </c>
      <c r="AN30" s="35">
        <f t="shared" si="10"/>
        <v>1.219648854563336E-2</v>
      </c>
      <c r="AP30" s="31">
        <f t="shared" si="11"/>
        <v>2.0173628267738994</v>
      </c>
    </row>
    <row r="31" spans="2:42" x14ac:dyDescent="0.25">
      <c r="B31" s="52">
        <f t="shared" si="12"/>
        <v>17</v>
      </c>
      <c r="C31" s="53">
        <v>8.9499999999999993</v>
      </c>
      <c r="D31" s="53">
        <v>10.11</v>
      </c>
      <c r="E31" s="53">
        <v>11.63</v>
      </c>
      <c r="F31" s="53">
        <v>10.53</v>
      </c>
      <c r="G31" s="53">
        <v>9.39</v>
      </c>
      <c r="H31" s="53">
        <v>9.61</v>
      </c>
      <c r="I31" s="53">
        <v>7.69</v>
      </c>
      <c r="J31" s="54"/>
      <c r="K31" s="53"/>
      <c r="M31" s="148">
        <v>3</v>
      </c>
      <c r="N31" s="179">
        <f t="shared" si="4"/>
        <v>17</v>
      </c>
      <c r="O31" s="31">
        <f t="shared" si="1"/>
        <v>11.63</v>
      </c>
      <c r="Q31" s="31">
        <f t="shared" si="5"/>
        <v>14.613399122806969</v>
      </c>
      <c r="R31" s="31">
        <f t="shared" si="2"/>
        <v>17.578947368421051</v>
      </c>
      <c r="T31" s="31">
        <f t="shared" si="3"/>
        <v>16.869601871718313</v>
      </c>
      <c r="V31" s="84" t="s">
        <v>33</v>
      </c>
      <c r="W31" s="84">
        <v>16.761692722177266</v>
      </c>
      <c r="X31" s="84">
        <v>0.26060205416774013</v>
      </c>
      <c r="Y31" s="84">
        <v>64.319112048857335</v>
      </c>
      <c r="Z31" s="84">
        <v>5.2822120368581168E-92</v>
      </c>
      <c r="AA31" s="84">
        <v>16.245490208054637</v>
      </c>
      <c r="AB31" s="84">
        <v>17.277895236299894</v>
      </c>
      <c r="AC31" s="84">
        <v>16.245490208054637</v>
      </c>
      <c r="AD31" s="84">
        <v>17.277895236299894</v>
      </c>
      <c r="AG31">
        <v>65</v>
      </c>
      <c r="AH31" s="74">
        <f t="shared" si="6"/>
        <v>3</v>
      </c>
      <c r="AI31" s="74">
        <f t="shared" si="7"/>
        <v>17</v>
      </c>
      <c r="AJ31" s="31">
        <f t="shared" si="7"/>
        <v>11.63</v>
      </c>
      <c r="AL31" s="35">
        <f t="shared" si="8"/>
        <v>11.522090850458861</v>
      </c>
      <c r="AM31" s="35">
        <f t="shared" si="9"/>
        <v>-0.10790914954113973</v>
      </c>
      <c r="AN31" s="35">
        <f t="shared" si="10"/>
        <v>1.1644384554692055E-2</v>
      </c>
      <c r="AP31" s="31">
        <f t="shared" si="11"/>
        <v>2.2811238437230559</v>
      </c>
    </row>
    <row r="32" spans="2:42" x14ac:dyDescent="0.25">
      <c r="B32" s="52">
        <f t="shared" si="12"/>
        <v>18</v>
      </c>
      <c r="C32" s="53">
        <v>9.18</v>
      </c>
      <c r="D32" s="53">
        <v>10.9</v>
      </c>
      <c r="E32" s="53">
        <v>10.6</v>
      </c>
      <c r="F32" s="53">
        <v>9.09</v>
      </c>
      <c r="G32" s="53">
        <v>10.09</v>
      </c>
      <c r="H32" s="53">
        <v>8.7100000000000009</v>
      </c>
      <c r="I32" s="53">
        <v>7.51</v>
      </c>
      <c r="J32" s="54"/>
      <c r="K32" s="53"/>
      <c r="M32" s="148">
        <v>3</v>
      </c>
      <c r="N32" s="179">
        <f t="shared" si="4"/>
        <v>18</v>
      </c>
      <c r="O32" s="31">
        <f t="shared" si="1"/>
        <v>10.6</v>
      </c>
      <c r="Q32" s="31">
        <f t="shared" si="5"/>
        <v>13.583399122806968</v>
      </c>
      <c r="R32" s="31">
        <f t="shared" si="2"/>
        <v>18.578947368421051</v>
      </c>
      <c r="T32" s="31">
        <f t="shared" si="3"/>
        <v>15.967948734680332</v>
      </c>
      <c r="V32" s="84" t="s">
        <v>397</v>
      </c>
      <c r="W32" s="84">
        <v>-1.0192350671213264</v>
      </c>
      <c r="X32" s="84">
        <v>4.468861825209558E-2</v>
      </c>
      <c r="Y32" s="84">
        <v>-22.807486715558305</v>
      </c>
      <c r="Z32" s="84">
        <v>1.7246604216014821E-44</v>
      </c>
      <c r="AA32" s="84">
        <v>-1.1077546191565912</v>
      </c>
      <c r="AB32" s="84">
        <v>-0.93071551508606165</v>
      </c>
      <c r="AC32" s="84">
        <v>-1.1077546191565912</v>
      </c>
      <c r="AD32" s="84">
        <v>-0.93071551508606165</v>
      </c>
      <c r="AG32">
        <v>66</v>
      </c>
      <c r="AH32" s="74">
        <f t="shared" si="6"/>
        <v>3</v>
      </c>
      <c r="AI32" s="74">
        <f t="shared" si="7"/>
        <v>18</v>
      </c>
      <c r="AJ32" s="31">
        <f t="shared" si="7"/>
        <v>10.6</v>
      </c>
      <c r="AL32" s="35">
        <f t="shared" si="8"/>
        <v>11.393743987496839</v>
      </c>
      <c r="AM32" s="35">
        <f t="shared" si="9"/>
        <v>0.79374398749683905</v>
      </c>
      <c r="AN32" s="35">
        <f t="shared" si="10"/>
        <v>0.63002951768738225</v>
      </c>
      <c r="AP32" s="31">
        <f t="shared" si="11"/>
        <v>0.2307255386383173</v>
      </c>
    </row>
    <row r="33" spans="2:42" ht="15.75" thickBot="1" x14ac:dyDescent="0.3">
      <c r="B33" s="52">
        <f t="shared" si="12"/>
        <v>19</v>
      </c>
      <c r="C33" s="53">
        <v>9.51</v>
      </c>
      <c r="D33" s="53">
        <v>9.61</v>
      </c>
      <c r="E33" s="53">
        <v>10.35</v>
      </c>
      <c r="F33" s="53">
        <v>10.88</v>
      </c>
      <c r="G33" s="53">
        <v>9</v>
      </c>
      <c r="H33" s="53">
        <v>9.43</v>
      </c>
      <c r="I33" s="53">
        <v>7.44</v>
      </c>
      <c r="J33" s="54"/>
      <c r="K33" s="53"/>
      <c r="M33" s="148">
        <v>3</v>
      </c>
      <c r="N33" s="179">
        <f t="shared" si="4"/>
        <v>19</v>
      </c>
      <c r="O33" s="31">
        <f t="shared" si="1"/>
        <v>10.35</v>
      </c>
      <c r="Q33" s="31">
        <f t="shared" si="5"/>
        <v>13.333399122806968</v>
      </c>
      <c r="R33" s="31">
        <f t="shared" si="2"/>
        <v>19.578947368421051</v>
      </c>
      <c r="T33" s="31">
        <f t="shared" si="3"/>
        <v>15.846295597642355</v>
      </c>
      <c r="V33" s="85" t="s">
        <v>398</v>
      </c>
      <c r="W33" s="85">
        <v>-0.12834686296202294</v>
      </c>
      <c r="X33" s="85">
        <v>9.1727276029910567E-3</v>
      </c>
      <c r="Y33" s="85">
        <v>-13.992224397917518</v>
      </c>
      <c r="Z33" s="85">
        <v>1.3890591048160001E-26</v>
      </c>
      <c r="AA33" s="85">
        <v>-0.14651627097051961</v>
      </c>
      <c r="AB33" s="85">
        <v>-0.11017745495352627</v>
      </c>
      <c r="AC33" s="85">
        <v>-0.14651627097051961</v>
      </c>
      <c r="AD33" s="85">
        <v>-0.11017745495352627</v>
      </c>
      <c r="AG33">
        <v>67</v>
      </c>
      <c r="AH33" s="74">
        <f t="shared" si="6"/>
        <v>3</v>
      </c>
      <c r="AI33" s="74">
        <f t="shared" si="7"/>
        <v>19</v>
      </c>
      <c r="AJ33" s="31">
        <f t="shared" si="7"/>
        <v>10.35</v>
      </c>
      <c r="AL33" s="35">
        <f t="shared" si="8"/>
        <v>11.265397124534816</v>
      </c>
      <c r="AM33" s="35">
        <f t="shared" si="9"/>
        <v>0.9153971245348167</v>
      </c>
      <c r="AN33" s="35">
        <f t="shared" si="10"/>
        <v>0.83795189560661076</v>
      </c>
      <c r="AP33" s="31">
        <f t="shared" si="11"/>
        <v>5.3056047112896181E-2</v>
      </c>
    </row>
    <row r="34" spans="2:42" x14ac:dyDescent="0.25">
      <c r="B34" s="52">
        <f t="shared" si="12"/>
        <v>20</v>
      </c>
      <c r="C34" s="53">
        <v>8.8800000000000008</v>
      </c>
      <c r="D34" s="53">
        <v>9.9499999999999993</v>
      </c>
      <c r="E34" s="53">
        <v>10.210000000000001</v>
      </c>
      <c r="F34" s="53">
        <v>10.38</v>
      </c>
      <c r="G34" s="53">
        <v>9.59</v>
      </c>
      <c r="H34" s="53">
        <v>8.85</v>
      </c>
      <c r="I34" s="53">
        <v>7.42</v>
      </c>
      <c r="J34" s="54"/>
      <c r="K34" s="53"/>
      <c r="M34" s="148">
        <v>3</v>
      </c>
      <c r="N34" s="179">
        <f t="shared" si="4"/>
        <v>20</v>
      </c>
      <c r="O34" s="31">
        <f t="shared" si="1"/>
        <v>10.210000000000001</v>
      </c>
      <c r="Q34" s="31">
        <f t="shared" si="5"/>
        <v>13.193399122806969</v>
      </c>
      <c r="R34" s="31">
        <f t="shared" si="2"/>
        <v>20.578947368421051</v>
      </c>
      <c r="T34" s="31">
        <f t="shared" si="3"/>
        <v>15.834642460604378</v>
      </c>
      <c r="V34"/>
      <c r="W34"/>
      <c r="AG34">
        <v>68</v>
      </c>
      <c r="AH34" s="74">
        <f t="shared" si="6"/>
        <v>3</v>
      </c>
      <c r="AI34" s="74">
        <f t="shared" si="7"/>
        <v>20</v>
      </c>
      <c r="AJ34" s="31">
        <f t="shared" si="7"/>
        <v>10.210000000000001</v>
      </c>
      <c r="AL34" s="35">
        <f t="shared" si="8"/>
        <v>11.137050261572794</v>
      </c>
      <c r="AM34" s="35">
        <f t="shared" si="9"/>
        <v>0.92705026157279313</v>
      </c>
      <c r="AN34" s="35">
        <f t="shared" si="10"/>
        <v>0.85942218748218413</v>
      </c>
      <c r="AP34" s="31">
        <f t="shared" si="11"/>
        <v>8.1611318586605752E-3</v>
      </c>
    </row>
    <row r="35" spans="2:42" x14ac:dyDescent="0.25">
      <c r="B35" s="52">
        <f t="shared" si="12"/>
        <v>21</v>
      </c>
      <c r="C35" s="53">
        <v>10.01</v>
      </c>
      <c r="D35" s="53">
        <v>9.9</v>
      </c>
      <c r="E35" s="53">
        <v>10.06</v>
      </c>
      <c r="F35" s="53">
        <v>9.64</v>
      </c>
      <c r="G35" s="53">
        <v>8.39</v>
      </c>
      <c r="H35" s="53">
        <v>8</v>
      </c>
      <c r="I35" s="53">
        <v>7.16</v>
      </c>
      <c r="J35" s="54"/>
      <c r="K35" s="53"/>
      <c r="M35" s="148">
        <v>3</v>
      </c>
      <c r="N35" s="179">
        <f t="shared" si="4"/>
        <v>21</v>
      </c>
      <c r="O35" s="31">
        <f t="shared" si="1"/>
        <v>10.06</v>
      </c>
      <c r="Q35" s="31">
        <f t="shared" si="5"/>
        <v>13.043399122806969</v>
      </c>
      <c r="R35" s="31">
        <f t="shared" si="2"/>
        <v>21.578947368421051</v>
      </c>
      <c r="T35" s="31">
        <f t="shared" si="3"/>
        <v>15.812989323566402</v>
      </c>
      <c r="V35"/>
      <c r="W35"/>
      <c r="AG35">
        <v>69</v>
      </c>
      <c r="AH35" s="74">
        <f t="shared" si="6"/>
        <v>3</v>
      </c>
      <c r="AI35" s="74">
        <f t="shared" si="7"/>
        <v>21</v>
      </c>
      <c r="AJ35" s="31">
        <f t="shared" si="7"/>
        <v>10.06</v>
      </c>
      <c r="AL35" s="35">
        <f t="shared" si="8"/>
        <v>11.008703398610772</v>
      </c>
      <c r="AM35" s="35">
        <f t="shared" si="9"/>
        <v>0.94870339861077113</v>
      </c>
      <c r="AN35" s="35">
        <f t="shared" si="10"/>
        <v>0.90003813853562775</v>
      </c>
      <c r="AP35" s="31">
        <f t="shared" si="11"/>
        <v>3.5594369434075908E-3</v>
      </c>
    </row>
    <row r="36" spans="2:42" x14ac:dyDescent="0.25">
      <c r="B36" s="52">
        <f t="shared" si="12"/>
        <v>22</v>
      </c>
      <c r="C36" s="53">
        <v>9.48</v>
      </c>
      <c r="D36" s="53">
        <v>10.15</v>
      </c>
      <c r="E36" s="53">
        <v>10.58</v>
      </c>
      <c r="F36" s="53">
        <v>9.02</v>
      </c>
      <c r="G36" s="53">
        <v>8.5500000000000007</v>
      </c>
      <c r="H36" s="53">
        <v>8.57</v>
      </c>
      <c r="I36" s="53">
        <v>6.79</v>
      </c>
      <c r="J36" s="54"/>
      <c r="K36" s="53"/>
      <c r="M36" s="148">
        <v>3</v>
      </c>
      <c r="N36" s="179">
        <f t="shared" si="4"/>
        <v>22</v>
      </c>
      <c r="O36" s="31">
        <f t="shared" si="1"/>
        <v>10.58</v>
      </c>
      <c r="Q36" s="31">
        <f t="shared" si="5"/>
        <v>13.563399122806969</v>
      </c>
      <c r="R36" s="31">
        <f t="shared" si="2"/>
        <v>22.578947368421051</v>
      </c>
      <c r="T36" s="31">
        <f t="shared" si="3"/>
        <v>16.461336186528424</v>
      </c>
      <c r="V36"/>
      <c r="W36"/>
      <c r="AG36">
        <v>70</v>
      </c>
      <c r="AH36" s="74">
        <f t="shared" si="6"/>
        <v>3</v>
      </c>
      <c r="AI36" s="74">
        <f t="shared" si="7"/>
        <v>22</v>
      </c>
      <c r="AJ36" s="31">
        <f t="shared" si="7"/>
        <v>10.58</v>
      </c>
      <c r="AL36" s="35">
        <f t="shared" si="8"/>
        <v>10.880356535648747</v>
      </c>
      <c r="AM36" s="35">
        <f t="shared" si="9"/>
        <v>0.30035653564874742</v>
      </c>
      <c r="AN36" s="35">
        <f t="shared" si="10"/>
        <v>9.0214048506917277E-2</v>
      </c>
      <c r="AP36" s="31">
        <f t="shared" si="11"/>
        <v>0.211911979316284</v>
      </c>
    </row>
    <row r="37" spans="2:42" x14ac:dyDescent="0.25">
      <c r="B37" s="52">
        <f t="shared" si="12"/>
        <v>23</v>
      </c>
      <c r="C37" s="53">
        <v>10.34</v>
      </c>
      <c r="D37" s="53">
        <v>10.3</v>
      </c>
      <c r="E37" s="53">
        <v>9.36</v>
      </c>
      <c r="F37" s="53">
        <v>10.029999999999999</v>
      </c>
      <c r="G37" s="53">
        <v>9.08</v>
      </c>
      <c r="H37" s="53">
        <v>8.1300000000000008</v>
      </c>
      <c r="I37" s="53"/>
      <c r="J37" s="54"/>
      <c r="K37" s="53"/>
      <c r="M37" s="148">
        <v>3</v>
      </c>
      <c r="N37" s="179">
        <f t="shared" si="4"/>
        <v>23</v>
      </c>
      <c r="O37" s="31">
        <f t="shared" si="1"/>
        <v>9.36</v>
      </c>
      <c r="Q37" s="31">
        <f t="shared" si="5"/>
        <v>12.343399122806968</v>
      </c>
      <c r="R37" s="31">
        <f t="shared" si="2"/>
        <v>23.578947368421051</v>
      </c>
      <c r="T37" s="31">
        <f t="shared" si="3"/>
        <v>15.369683049490444</v>
      </c>
      <c r="AG37">
        <v>71</v>
      </c>
      <c r="AH37" s="74">
        <f t="shared" si="6"/>
        <v>3</v>
      </c>
      <c r="AI37" s="74">
        <f t="shared" si="7"/>
        <v>23</v>
      </c>
      <c r="AJ37" s="31">
        <f t="shared" si="7"/>
        <v>9.36</v>
      </c>
      <c r="AL37" s="35">
        <f t="shared" si="8"/>
        <v>10.752009672686725</v>
      </c>
      <c r="AM37" s="35">
        <f t="shared" si="9"/>
        <v>1.3920096726867257</v>
      </c>
      <c r="AN37" s="35">
        <f t="shared" si="10"/>
        <v>1.9376909288534052</v>
      </c>
      <c r="AP37" s="31">
        <f t="shared" si="11"/>
        <v>0.57708486067222886</v>
      </c>
    </row>
    <row r="38" spans="2:42" ht="15.75" thickBot="1" x14ac:dyDescent="0.3">
      <c r="B38" s="75">
        <f t="shared" si="12"/>
        <v>24</v>
      </c>
      <c r="C38" s="55">
        <v>10.14</v>
      </c>
      <c r="D38" s="55">
        <v>10.31</v>
      </c>
      <c r="E38" s="55">
        <v>10.07</v>
      </c>
      <c r="F38" s="55">
        <v>10.01</v>
      </c>
      <c r="G38" s="55">
        <v>10.45</v>
      </c>
      <c r="H38" s="55">
        <v>7.2</v>
      </c>
      <c r="I38" s="55"/>
      <c r="J38" s="56"/>
      <c r="K38" s="53"/>
      <c r="M38" s="148">
        <v>3</v>
      </c>
      <c r="N38" s="179">
        <f t="shared" si="4"/>
        <v>24</v>
      </c>
      <c r="O38" s="31">
        <f t="shared" si="1"/>
        <v>10.07</v>
      </c>
      <c r="Q38" s="31">
        <f t="shared" si="5"/>
        <v>13.053399122806969</v>
      </c>
      <c r="R38" s="31">
        <f t="shared" si="2"/>
        <v>24.578947368421051</v>
      </c>
      <c r="T38" s="31">
        <f t="shared" si="3"/>
        <v>16.208029912452467</v>
      </c>
      <c r="AG38">
        <v>72</v>
      </c>
      <c r="AH38" s="74">
        <f t="shared" si="6"/>
        <v>3</v>
      </c>
      <c r="AI38" s="74">
        <f t="shared" si="7"/>
        <v>24</v>
      </c>
      <c r="AJ38" s="31">
        <f t="shared" si="7"/>
        <v>10.07</v>
      </c>
      <c r="AL38" s="35">
        <f t="shared" si="8"/>
        <v>10.623662809724703</v>
      </c>
      <c r="AM38" s="35">
        <f t="shared" si="9"/>
        <v>0.5536628097247025</v>
      </c>
      <c r="AN38" s="35">
        <f t="shared" si="10"/>
        <v>0.3065425068722521</v>
      </c>
      <c r="AP38" s="31">
        <f t="shared" si="11"/>
        <v>2.466216604424473E-3</v>
      </c>
    </row>
    <row r="39" spans="2:42" ht="15.75" thickTop="1" x14ac:dyDescent="0.25">
      <c r="M39" s="148">
        <v>4</v>
      </c>
      <c r="N39" s="179">
        <f t="shared" ref="N39:N55" si="13">N15</f>
        <v>1</v>
      </c>
      <c r="O39" s="31">
        <f t="shared" ref="O39:O62" si="14">F15</f>
        <v>14.44</v>
      </c>
      <c r="Q39" s="31">
        <f t="shared" si="5"/>
        <v>18.417865497075958</v>
      </c>
      <c r="R39" s="31">
        <f t="shared" si="2"/>
        <v>1.771929824561403</v>
      </c>
      <c r="T39" s="31">
        <f t="shared" si="3"/>
        <v>18.645287131447262</v>
      </c>
      <c r="AG39">
        <v>73</v>
      </c>
      <c r="AH39" s="74">
        <f t="shared" si="6"/>
        <v>4</v>
      </c>
      <c r="AI39" s="74">
        <f t="shared" si="7"/>
        <v>1</v>
      </c>
      <c r="AJ39" s="31">
        <f t="shared" si="7"/>
        <v>14.44</v>
      </c>
      <c r="AL39" s="35">
        <f t="shared" si="8"/>
        <v>12.556405590729913</v>
      </c>
      <c r="AM39" s="35">
        <f t="shared" si="9"/>
        <v>-1.8835944092700867</v>
      </c>
      <c r="AN39" s="35">
        <f t="shared" si="10"/>
        <v>3.5479278986335268</v>
      </c>
      <c r="AP39" s="31">
        <f t="shared" si="11"/>
        <v>18.665328928468785</v>
      </c>
    </row>
    <row r="40" spans="2:42" ht="21" customHeight="1" x14ac:dyDescent="0.25">
      <c r="B40" s="57"/>
      <c r="C40" s="19"/>
      <c r="D40" s="19"/>
      <c r="E40" s="19"/>
      <c r="F40" s="19"/>
      <c r="G40" s="19"/>
      <c r="H40" s="19"/>
      <c r="I40" s="19"/>
      <c r="J40" s="19"/>
      <c r="K40" s="19"/>
      <c r="M40" s="148">
        <v>4</v>
      </c>
      <c r="N40" s="179">
        <f t="shared" si="13"/>
        <v>2</v>
      </c>
      <c r="O40" s="31">
        <f t="shared" si="14"/>
        <v>12.08</v>
      </c>
      <c r="Q40" s="31">
        <f t="shared" si="5"/>
        <v>16.057865497075959</v>
      </c>
      <c r="R40" s="31">
        <f t="shared" si="2"/>
        <v>2.7719298245614032</v>
      </c>
      <c r="T40" s="31">
        <f t="shared" si="3"/>
        <v>16.413633994409285</v>
      </c>
      <c r="AG40">
        <v>74</v>
      </c>
      <c r="AH40" s="74">
        <f t="shared" si="6"/>
        <v>4</v>
      </c>
      <c r="AI40" s="74">
        <f t="shared" si="7"/>
        <v>2</v>
      </c>
      <c r="AJ40" s="31">
        <f t="shared" si="7"/>
        <v>12.08</v>
      </c>
      <c r="AL40" s="35">
        <f t="shared" si="8"/>
        <v>12.42805872776789</v>
      </c>
      <c r="AM40" s="35">
        <f t="shared" si="9"/>
        <v>0.34805872776789037</v>
      </c>
      <c r="AN40" s="35">
        <f t="shared" si="10"/>
        <v>0.12114487797540242</v>
      </c>
      <c r="AP40" s="31">
        <f t="shared" si="11"/>
        <v>3.8429289284688117</v>
      </c>
    </row>
    <row r="41" spans="2:42" x14ac:dyDescent="0.25">
      <c r="M41" s="148">
        <v>4</v>
      </c>
      <c r="N41" s="179">
        <f t="shared" si="13"/>
        <v>3</v>
      </c>
      <c r="O41" s="31">
        <f t="shared" si="14"/>
        <v>12.31</v>
      </c>
      <c r="Q41" s="31">
        <f t="shared" si="5"/>
        <v>16.287865497075959</v>
      </c>
      <c r="R41" s="31">
        <f t="shared" si="2"/>
        <v>3.7719298245614032</v>
      </c>
      <c r="T41" s="31">
        <f t="shared" si="3"/>
        <v>16.771980857371307</v>
      </c>
      <c r="AG41">
        <v>75</v>
      </c>
      <c r="AH41" s="74">
        <f t="shared" si="6"/>
        <v>4</v>
      </c>
      <c r="AI41" s="74">
        <f t="shared" si="7"/>
        <v>3</v>
      </c>
      <c r="AJ41" s="31">
        <f t="shared" si="7"/>
        <v>12.31</v>
      </c>
      <c r="AL41" s="35">
        <f t="shared" si="8"/>
        <v>12.299711864805868</v>
      </c>
      <c r="AM41" s="35">
        <f t="shared" si="9"/>
        <v>-1.0288135194132408E-2</v>
      </c>
      <c r="AN41" s="35">
        <f t="shared" si="10"/>
        <v>1.0584572577274588E-4</v>
      </c>
      <c r="AP41" s="31">
        <f t="shared" si="11"/>
        <v>4.7975848606722016</v>
      </c>
    </row>
    <row r="42" spans="2:42" x14ac:dyDescent="0.25">
      <c r="M42" s="148">
        <v>4</v>
      </c>
      <c r="N42" s="179">
        <f t="shared" si="13"/>
        <v>4</v>
      </c>
      <c r="O42" s="31">
        <f t="shared" si="14"/>
        <v>12.28</v>
      </c>
      <c r="Q42" s="31">
        <f t="shared" si="5"/>
        <v>16.257865497075958</v>
      </c>
      <c r="R42" s="31">
        <f t="shared" si="2"/>
        <v>4.7719298245614032</v>
      </c>
      <c r="T42" s="31">
        <f t="shared" si="3"/>
        <v>16.870327720333329</v>
      </c>
      <c r="AG42">
        <v>76</v>
      </c>
      <c r="AH42" s="74">
        <f t="shared" si="6"/>
        <v>4</v>
      </c>
      <c r="AI42" s="74">
        <f t="shared" si="7"/>
        <v>4</v>
      </c>
      <c r="AJ42" s="31">
        <f t="shared" si="7"/>
        <v>12.28</v>
      </c>
      <c r="AL42" s="35">
        <f t="shared" si="8"/>
        <v>12.171365001843846</v>
      </c>
      <c r="AM42" s="35">
        <f t="shared" si="9"/>
        <v>-0.10863499815615363</v>
      </c>
      <c r="AN42" s="35">
        <f t="shared" si="10"/>
        <v>1.1801562824387503E-2</v>
      </c>
      <c r="AP42" s="31">
        <f t="shared" si="11"/>
        <v>4.667064521689146</v>
      </c>
    </row>
    <row r="43" spans="2:42" x14ac:dyDescent="0.25">
      <c r="M43" s="148">
        <v>4</v>
      </c>
      <c r="N43" s="179">
        <f t="shared" si="13"/>
        <v>5</v>
      </c>
      <c r="O43" s="31">
        <f t="shared" si="14"/>
        <v>12.52</v>
      </c>
      <c r="Q43" s="31">
        <f t="shared" si="5"/>
        <v>16.497865497075956</v>
      </c>
      <c r="R43" s="31">
        <f t="shared" si="2"/>
        <v>5.7719298245614032</v>
      </c>
      <c r="T43" s="31">
        <f t="shared" si="3"/>
        <v>17.238674583295349</v>
      </c>
      <c r="AG43">
        <v>77</v>
      </c>
      <c r="AH43" s="74">
        <f t="shared" si="6"/>
        <v>4</v>
      </c>
      <c r="AI43" s="74">
        <f t="shared" si="7"/>
        <v>5</v>
      </c>
      <c r="AJ43" s="31">
        <f t="shared" si="7"/>
        <v>12.52</v>
      </c>
      <c r="AL43" s="35">
        <f t="shared" si="8"/>
        <v>12.043018138881823</v>
      </c>
      <c r="AM43" s="35">
        <f t="shared" si="9"/>
        <v>-0.4769818611181762</v>
      </c>
      <c r="AN43" s="35">
        <f t="shared" si="10"/>
        <v>0.22751169583575911</v>
      </c>
      <c r="AP43" s="31">
        <f t="shared" si="11"/>
        <v>5.7616272335535514</v>
      </c>
    </row>
    <row r="44" spans="2:42" x14ac:dyDescent="0.25">
      <c r="M44" s="148">
        <v>4</v>
      </c>
      <c r="N44" s="179">
        <f t="shared" si="13"/>
        <v>6</v>
      </c>
      <c r="O44" s="31">
        <f t="shared" si="14"/>
        <v>10.62</v>
      </c>
      <c r="Q44" s="31">
        <f t="shared" si="5"/>
        <v>14.597865497075958</v>
      </c>
      <c r="R44" s="31">
        <f t="shared" si="2"/>
        <v>6.7719298245614032</v>
      </c>
      <c r="T44" s="31">
        <f t="shared" si="3"/>
        <v>15.467021446257373</v>
      </c>
      <c r="AG44">
        <v>78</v>
      </c>
      <c r="AH44" s="74">
        <f t="shared" si="6"/>
        <v>4</v>
      </c>
      <c r="AI44" s="74">
        <f t="shared" si="7"/>
        <v>6</v>
      </c>
      <c r="AJ44" s="31">
        <f t="shared" si="7"/>
        <v>10.62</v>
      </c>
      <c r="AL44" s="35">
        <f t="shared" si="8"/>
        <v>11.914671275919801</v>
      </c>
      <c r="AM44" s="35">
        <f t="shared" si="9"/>
        <v>1.2946712759198018</v>
      </c>
      <c r="AN44" s="35">
        <f t="shared" si="10"/>
        <v>1.6761737126918075</v>
      </c>
      <c r="AP44" s="31">
        <f t="shared" si="11"/>
        <v>0.25033909796035053</v>
      </c>
    </row>
    <row r="45" spans="2:42" x14ac:dyDescent="0.25">
      <c r="M45" s="148">
        <v>4</v>
      </c>
      <c r="N45" s="179">
        <f t="shared" si="13"/>
        <v>7</v>
      </c>
      <c r="O45" s="31">
        <f t="shared" si="14"/>
        <v>12.43</v>
      </c>
      <c r="Q45" s="31">
        <f t="shared" si="5"/>
        <v>16.407865497075957</v>
      </c>
      <c r="R45" s="31">
        <f t="shared" si="2"/>
        <v>7.7719298245614032</v>
      </c>
      <c r="T45" s="31">
        <f t="shared" si="3"/>
        <v>17.405368309219394</v>
      </c>
      <c r="AG45">
        <v>79</v>
      </c>
      <c r="AH45" s="74">
        <f t="shared" si="6"/>
        <v>4</v>
      </c>
      <c r="AI45" s="74">
        <f t="shared" si="7"/>
        <v>7</v>
      </c>
      <c r="AJ45" s="31">
        <f t="shared" si="7"/>
        <v>12.43</v>
      </c>
      <c r="AL45" s="35">
        <f t="shared" si="8"/>
        <v>11.786324412957779</v>
      </c>
      <c r="AM45" s="35">
        <f t="shared" si="9"/>
        <v>-0.64367558704222105</v>
      </c>
      <c r="AN45" s="35">
        <f t="shared" si="10"/>
        <v>0.4143182613541479</v>
      </c>
      <c r="AP45" s="31">
        <f t="shared" si="11"/>
        <v>5.3376662166043998</v>
      </c>
    </row>
    <row r="46" spans="2:42" x14ac:dyDescent="0.25">
      <c r="M46" s="148">
        <v>4</v>
      </c>
      <c r="N46" s="179">
        <f t="shared" si="13"/>
        <v>8</v>
      </c>
      <c r="O46" s="31">
        <f t="shared" si="14"/>
        <v>11.89</v>
      </c>
      <c r="Q46" s="31">
        <f t="shared" si="5"/>
        <v>15.867865497075959</v>
      </c>
      <c r="R46" s="31">
        <f t="shared" si="2"/>
        <v>8.7719298245614024</v>
      </c>
      <c r="T46" s="31">
        <f t="shared" si="3"/>
        <v>16.993715172181417</v>
      </c>
      <c r="AG46">
        <v>80</v>
      </c>
      <c r="AH46" s="74">
        <f t="shared" si="6"/>
        <v>4</v>
      </c>
      <c r="AI46" s="74">
        <f t="shared" si="7"/>
        <v>8</v>
      </c>
      <c r="AJ46" s="31">
        <f t="shared" si="7"/>
        <v>11.89</v>
      </c>
      <c r="AL46" s="35">
        <f t="shared" si="8"/>
        <v>11.657977549995756</v>
      </c>
      <c r="AM46" s="35">
        <f t="shared" si="9"/>
        <v>-0.23202245000424426</v>
      </c>
      <c r="AN46" s="35">
        <f t="shared" si="10"/>
        <v>5.3834417305972028E-2</v>
      </c>
      <c r="AP46" s="31">
        <f t="shared" si="11"/>
        <v>3.1341001149094936</v>
      </c>
    </row>
    <row r="47" spans="2:42" x14ac:dyDescent="0.25">
      <c r="M47" s="148">
        <v>4</v>
      </c>
      <c r="N47" s="179">
        <f t="shared" si="13"/>
        <v>9</v>
      </c>
      <c r="O47" s="31">
        <f t="shared" si="14"/>
        <v>12.01</v>
      </c>
      <c r="Q47" s="31">
        <f t="shared" ref="Q47:Q78" si="15">O47-M47*$Q$12</f>
        <v>15.987865497075958</v>
      </c>
      <c r="R47" s="31">
        <f t="shared" ref="R47:R78" si="16">N47-M47*$R$12</f>
        <v>9.7719298245614024</v>
      </c>
      <c r="T47" s="31">
        <f t="shared" ref="T47:T78" si="17">Q47-R47*$T$12</f>
        <v>17.242062035143441</v>
      </c>
      <c r="AG47">
        <v>81</v>
      </c>
      <c r="AH47" s="74">
        <f t="shared" si="6"/>
        <v>4</v>
      </c>
      <c r="AI47" s="74">
        <f t="shared" si="7"/>
        <v>9</v>
      </c>
      <c r="AJ47" s="31">
        <f t="shared" si="7"/>
        <v>12.01</v>
      </c>
      <c r="AL47" s="35">
        <f t="shared" si="8"/>
        <v>11.529630687033734</v>
      </c>
      <c r="AM47" s="35">
        <f t="shared" si="9"/>
        <v>-0.48036931296626584</v>
      </c>
      <c r="AN47" s="35">
        <f t="shared" si="10"/>
        <v>0.23075467683968226</v>
      </c>
      <c r="AP47" s="31">
        <f t="shared" si="11"/>
        <v>3.5733814708416927</v>
      </c>
    </row>
    <row r="48" spans="2:42" x14ac:dyDescent="0.25">
      <c r="M48" s="148">
        <v>4</v>
      </c>
      <c r="N48" s="179">
        <f t="shared" si="13"/>
        <v>10</v>
      </c>
      <c r="O48" s="31">
        <f t="shared" si="14"/>
        <v>10.94</v>
      </c>
      <c r="Q48" s="31">
        <f t="shared" si="15"/>
        <v>14.917865497075958</v>
      </c>
      <c r="R48" s="31">
        <f t="shared" si="16"/>
        <v>10.771929824561402</v>
      </c>
      <c r="T48" s="31">
        <f t="shared" si="17"/>
        <v>16.300408898105463</v>
      </c>
      <c r="AG48">
        <v>82</v>
      </c>
      <c r="AH48" s="74">
        <f t="shared" si="6"/>
        <v>4</v>
      </c>
      <c r="AI48" s="74">
        <f t="shared" si="7"/>
        <v>10</v>
      </c>
      <c r="AJ48" s="31">
        <f t="shared" si="7"/>
        <v>10.94</v>
      </c>
      <c r="AL48" s="35">
        <f t="shared" si="8"/>
        <v>11.40128382407171</v>
      </c>
      <c r="AM48" s="35">
        <f t="shared" si="9"/>
        <v>0.46128382407171031</v>
      </c>
      <c r="AN48" s="35">
        <f t="shared" si="10"/>
        <v>0.21278276635022059</v>
      </c>
      <c r="AP48" s="31">
        <f t="shared" si="11"/>
        <v>0.67295604711288981</v>
      </c>
    </row>
    <row r="49" spans="13:42" x14ac:dyDescent="0.25">
      <c r="M49" s="148">
        <v>4</v>
      </c>
      <c r="N49" s="179">
        <f t="shared" si="13"/>
        <v>11</v>
      </c>
      <c r="O49" s="31">
        <f t="shared" si="14"/>
        <v>12.04</v>
      </c>
      <c r="Q49" s="31">
        <f t="shared" si="15"/>
        <v>16.017865497075956</v>
      </c>
      <c r="R49" s="31">
        <f t="shared" si="16"/>
        <v>11.771929824561402</v>
      </c>
      <c r="T49" s="31">
        <f t="shared" si="17"/>
        <v>17.528755761067483</v>
      </c>
      <c r="AG49">
        <v>83</v>
      </c>
      <c r="AH49" s="74">
        <f t="shared" si="6"/>
        <v>4</v>
      </c>
      <c r="AI49" s="74">
        <f t="shared" si="7"/>
        <v>11</v>
      </c>
      <c r="AJ49" s="31">
        <f t="shared" si="7"/>
        <v>12.04</v>
      </c>
      <c r="AL49" s="35">
        <f t="shared" si="8"/>
        <v>11.272936961109687</v>
      </c>
      <c r="AM49" s="35">
        <f t="shared" si="9"/>
        <v>-0.76706303889031169</v>
      </c>
      <c r="AN49" s="35">
        <f t="shared" si="10"/>
        <v>0.58838570563163983</v>
      </c>
      <c r="AP49" s="31">
        <f t="shared" si="11"/>
        <v>3.6877018098247412</v>
      </c>
    </row>
    <row r="50" spans="13:42" x14ac:dyDescent="0.25">
      <c r="M50" s="148">
        <v>4</v>
      </c>
      <c r="N50" s="179">
        <f t="shared" si="13"/>
        <v>12</v>
      </c>
      <c r="O50" s="31">
        <f t="shared" si="14"/>
        <v>11.01</v>
      </c>
      <c r="Q50" s="31">
        <f t="shared" si="15"/>
        <v>14.987865497075958</v>
      </c>
      <c r="R50" s="31">
        <f t="shared" si="16"/>
        <v>12.771929824561402</v>
      </c>
      <c r="T50" s="31">
        <f t="shared" si="17"/>
        <v>16.627102624029508</v>
      </c>
      <c r="AG50">
        <v>84</v>
      </c>
      <c r="AH50" s="74">
        <f t="shared" si="6"/>
        <v>4</v>
      </c>
      <c r="AI50" s="74">
        <f t="shared" si="7"/>
        <v>12</v>
      </c>
      <c r="AJ50" s="31">
        <f t="shared" si="7"/>
        <v>11.01</v>
      </c>
      <c r="AL50" s="35">
        <f t="shared" si="8"/>
        <v>11.144590098147665</v>
      </c>
      <c r="AM50" s="35">
        <f t="shared" si="9"/>
        <v>0.13459009814766532</v>
      </c>
      <c r="AN50" s="35">
        <f t="shared" si="10"/>
        <v>1.8114494519398183E-2</v>
      </c>
      <c r="AP50" s="31">
        <f t="shared" si="11"/>
        <v>0.79270350474000817</v>
      </c>
    </row>
    <row r="51" spans="13:42" x14ac:dyDescent="0.25">
      <c r="M51" s="148">
        <v>4</v>
      </c>
      <c r="N51" s="179">
        <f t="shared" si="13"/>
        <v>13</v>
      </c>
      <c r="O51" s="31">
        <f t="shared" si="14"/>
        <v>10.83</v>
      </c>
      <c r="Q51" s="31">
        <f t="shared" si="15"/>
        <v>14.807865497075959</v>
      </c>
      <c r="R51" s="31">
        <f t="shared" si="16"/>
        <v>13.771929824561402</v>
      </c>
      <c r="T51" s="31">
        <f t="shared" si="17"/>
        <v>16.575449486991531</v>
      </c>
      <c r="AG51">
        <v>85</v>
      </c>
      <c r="AH51" s="74">
        <f t="shared" si="6"/>
        <v>4</v>
      </c>
      <c r="AI51" s="74">
        <f t="shared" si="7"/>
        <v>13</v>
      </c>
      <c r="AJ51" s="31">
        <f t="shared" si="7"/>
        <v>10.83</v>
      </c>
      <c r="AL51" s="35">
        <f t="shared" si="8"/>
        <v>11.016243235185643</v>
      </c>
      <c r="AM51" s="35">
        <f t="shared" si="9"/>
        <v>0.18624323518564267</v>
      </c>
      <c r="AN51" s="35">
        <f t="shared" si="10"/>
        <v>3.4686542652414609E-2</v>
      </c>
      <c r="AP51" s="31">
        <f t="shared" si="11"/>
        <v>0.50458147084170535</v>
      </c>
    </row>
    <row r="52" spans="13:42" x14ac:dyDescent="0.25">
      <c r="M52" s="148">
        <v>4</v>
      </c>
      <c r="N52" s="179">
        <f t="shared" si="13"/>
        <v>14</v>
      </c>
      <c r="O52" s="31">
        <f t="shared" si="14"/>
        <v>9.83</v>
      </c>
      <c r="Q52" s="31">
        <f t="shared" si="15"/>
        <v>13.807865497075959</v>
      </c>
      <c r="R52" s="31">
        <f t="shared" si="16"/>
        <v>14.771929824561402</v>
      </c>
      <c r="T52" s="31">
        <f t="shared" si="17"/>
        <v>15.703796349953553</v>
      </c>
      <c r="AG52">
        <v>86</v>
      </c>
      <c r="AH52" s="74">
        <f t="shared" si="6"/>
        <v>4</v>
      </c>
      <c r="AI52" s="74">
        <f t="shared" si="7"/>
        <v>14</v>
      </c>
      <c r="AJ52" s="31">
        <f t="shared" si="7"/>
        <v>9.83</v>
      </c>
      <c r="AL52" s="35">
        <f t="shared" si="8"/>
        <v>10.88789637222362</v>
      </c>
      <c r="AM52" s="35">
        <f t="shared" si="9"/>
        <v>1.0578963722236203</v>
      </c>
      <c r="AN52" s="35">
        <f t="shared" si="10"/>
        <v>1.1191447343638967</v>
      </c>
      <c r="AP52" s="31">
        <f t="shared" si="11"/>
        <v>8.3903504740020021E-2</v>
      </c>
    </row>
    <row r="53" spans="13:42" x14ac:dyDescent="0.25">
      <c r="M53" s="148">
        <v>4</v>
      </c>
      <c r="N53" s="179">
        <f t="shared" si="13"/>
        <v>15</v>
      </c>
      <c r="O53" s="31">
        <f t="shared" si="14"/>
        <v>10.050000000000001</v>
      </c>
      <c r="Q53" s="31">
        <f t="shared" si="15"/>
        <v>14.027865497075959</v>
      </c>
      <c r="R53" s="31">
        <f t="shared" si="16"/>
        <v>15.771929824561402</v>
      </c>
      <c r="T53" s="31">
        <f t="shared" si="17"/>
        <v>16.052143212915578</v>
      </c>
      <c r="AG53">
        <v>87</v>
      </c>
      <c r="AH53" s="74">
        <f t="shared" si="6"/>
        <v>4</v>
      </c>
      <c r="AI53" s="74">
        <f t="shared" si="7"/>
        <v>15</v>
      </c>
      <c r="AJ53" s="31">
        <f t="shared" si="7"/>
        <v>10.050000000000001</v>
      </c>
      <c r="AL53" s="35">
        <f t="shared" si="8"/>
        <v>10.759549509261598</v>
      </c>
      <c r="AM53" s="35">
        <f t="shared" si="9"/>
        <v>0.70954950926159732</v>
      </c>
      <c r="AN53" s="35">
        <f t="shared" si="10"/>
        <v>0.50346050609337356</v>
      </c>
      <c r="AP53" s="31">
        <f t="shared" si="11"/>
        <v>4.8526572823906992E-3</v>
      </c>
    </row>
    <row r="54" spans="13:42" x14ac:dyDescent="0.25">
      <c r="M54" s="148">
        <v>4</v>
      </c>
      <c r="N54" s="179">
        <f t="shared" si="13"/>
        <v>16</v>
      </c>
      <c r="O54" s="31">
        <f t="shared" si="14"/>
        <v>10.62</v>
      </c>
      <c r="Q54" s="31">
        <f t="shared" si="15"/>
        <v>14.597865497075958</v>
      </c>
      <c r="R54" s="31">
        <f t="shared" si="16"/>
        <v>16.771929824561404</v>
      </c>
      <c r="T54" s="31">
        <f t="shared" si="17"/>
        <v>16.750490075877597</v>
      </c>
      <c r="AG54">
        <v>88</v>
      </c>
      <c r="AH54" s="74">
        <f t="shared" si="6"/>
        <v>4</v>
      </c>
      <c r="AI54" s="74">
        <f t="shared" si="7"/>
        <v>16</v>
      </c>
      <c r="AJ54" s="31">
        <f t="shared" si="7"/>
        <v>10.62</v>
      </c>
      <c r="AL54" s="35">
        <f t="shared" si="8"/>
        <v>10.631202646299576</v>
      </c>
      <c r="AM54" s="35">
        <f t="shared" si="9"/>
        <v>1.1202646299576458E-2</v>
      </c>
      <c r="AN54" s="35">
        <f t="shared" si="10"/>
        <v>1.2549928411341411E-4</v>
      </c>
      <c r="AP54" s="31">
        <f t="shared" si="11"/>
        <v>0.25033909796035053</v>
      </c>
    </row>
    <row r="55" spans="13:42" x14ac:dyDescent="0.25">
      <c r="M55" s="148">
        <v>4</v>
      </c>
      <c r="N55" s="179">
        <f t="shared" si="13"/>
        <v>17</v>
      </c>
      <c r="O55" s="31">
        <f t="shared" si="14"/>
        <v>10.53</v>
      </c>
      <c r="Q55" s="31">
        <f t="shared" si="15"/>
        <v>14.507865497075958</v>
      </c>
      <c r="R55" s="31">
        <f t="shared" si="16"/>
        <v>17.771929824561404</v>
      </c>
      <c r="T55" s="31">
        <f t="shared" si="17"/>
        <v>16.788836938839619</v>
      </c>
      <c r="AG55">
        <v>89</v>
      </c>
      <c r="AH55" s="74">
        <f t="shared" si="6"/>
        <v>4</v>
      </c>
      <c r="AI55" s="74">
        <f t="shared" si="7"/>
        <v>17</v>
      </c>
      <c r="AJ55" s="31">
        <f t="shared" si="7"/>
        <v>10.53</v>
      </c>
      <c r="AL55" s="35">
        <f t="shared" si="8"/>
        <v>10.502855783337553</v>
      </c>
      <c r="AM55" s="35">
        <f t="shared" si="9"/>
        <v>-2.7144216662446041E-2</v>
      </c>
      <c r="AN55" s="35">
        <f t="shared" si="10"/>
        <v>7.3680849821781329E-4</v>
      </c>
      <c r="AP55" s="31">
        <f t="shared" si="11"/>
        <v>0.16837808101119914</v>
      </c>
    </row>
    <row r="56" spans="13:42" x14ac:dyDescent="0.25">
      <c r="M56" s="148">
        <v>4</v>
      </c>
      <c r="N56" s="179">
        <f t="shared" ref="N56:N119" si="18">N32</f>
        <v>18</v>
      </c>
      <c r="O56" s="31">
        <f t="shared" si="14"/>
        <v>9.09</v>
      </c>
      <c r="Q56" s="31">
        <f t="shared" si="15"/>
        <v>13.067865497075958</v>
      </c>
      <c r="R56" s="31">
        <f t="shared" si="16"/>
        <v>18.771929824561404</v>
      </c>
      <c r="T56" s="31">
        <f t="shared" si="17"/>
        <v>15.477183801801644</v>
      </c>
      <c r="AG56">
        <v>90</v>
      </c>
      <c r="AH56" s="74">
        <f t="shared" si="6"/>
        <v>4</v>
      </c>
      <c r="AI56" s="74">
        <f t="shared" si="7"/>
        <v>18</v>
      </c>
      <c r="AJ56" s="31">
        <f t="shared" si="7"/>
        <v>9.09</v>
      </c>
      <c r="AL56" s="35">
        <f t="shared" si="8"/>
        <v>10.374508920375531</v>
      </c>
      <c r="AM56" s="35">
        <f t="shared" si="9"/>
        <v>1.2845089203755311</v>
      </c>
      <c r="AN56" s="35">
        <f t="shared" si="10"/>
        <v>1.6499631665243124</v>
      </c>
      <c r="AP56" s="31">
        <f t="shared" si="11"/>
        <v>1.0602018098247734</v>
      </c>
    </row>
    <row r="57" spans="13:42" x14ac:dyDescent="0.25">
      <c r="M57" s="148">
        <v>4</v>
      </c>
      <c r="N57" s="179">
        <f t="shared" si="18"/>
        <v>19</v>
      </c>
      <c r="O57" s="31">
        <f t="shared" si="14"/>
        <v>10.88</v>
      </c>
      <c r="Q57" s="31">
        <f t="shared" si="15"/>
        <v>14.857865497075959</v>
      </c>
      <c r="R57" s="31">
        <f t="shared" si="16"/>
        <v>19.771929824561404</v>
      </c>
      <c r="T57" s="31">
        <f t="shared" si="17"/>
        <v>17.395530664763665</v>
      </c>
      <c r="AG57">
        <v>91</v>
      </c>
      <c r="AH57" s="74">
        <f t="shared" si="6"/>
        <v>4</v>
      </c>
      <c r="AI57" s="74">
        <f t="shared" si="7"/>
        <v>19</v>
      </c>
      <c r="AJ57" s="31">
        <f t="shared" si="7"/>
        <v>10.88</v>
      </c>
      <c r="AL57" s="35">
        <f t="shared" si="8"/>
        <v>10.246162057413509</v>
      </c>
      <c r="AM57" s="35">
        <f t="shared" si="9"/>
        <v>-0.63383794258649218</v>
      </c>
      <c r="AN57" s="35">
        <f t="shared" si="10"/>
        <v>0.40175053746227735</v>
      </c>
      <c r="AP57" s="31">
        <f t="shared" si="11"/>
        <v>0.57811536914679063</v>
      </c>
    </row>
    <row r="58" spans="13:42" x14ac:dyDescent="0.25">
      <c r="M58" s="148">
        <v>4</v>
      </c>
      <c r="N58" s="179">
        <f t="shared" si="18"/>
        <v>20</v>
      </c>
      <c r="O58" s="31">
        <f t="shared" si="14"/>
        <v>10.38</v>
      </c>
      <c r="Q58" s="31">
        <f t="shared" si="15"/>
        <v>14.357865497075959</v>
      </c>
      <c r="R58" s="31">
        <f t="shared" si="16"/>
        <v>20.771929824561404</v>
      </c>
      <c r="T58" s="31">
        <f t="shared" si="17"/>
        <v>17.023877527725688</v>
      </c>
      <c r="AG58">
        <v>92</v>
      </c>
      <c r="AH58" s="74">
        <f t="shared" si="6"/>
        <v>4</v>
      </c>
      <c r="AI58" s="74">
        <f t="shared" si="7"/>
        <v>20</v>
      </c>
      <c r="AJ58" s="31">
        <f t="shared" si="7"/>
        <v>10.38</v>
      </c>
      <c r="AL58" s="35">
        <f t="shared" si="8"/>
        <v>10.117815194451486</v>
      </c>
      <c r="AM58" s="35">
        <f t="shared" si="9"/>
        <v>-0.26218480554851453</v>
      </c>
      <c r="AN58" s="35">
        <f t="shared" si="10"/>
        <v>6.874087226051237E-2</v>
      </c>
      <c r="AP58" s="31">
        <f t="shared" si="11"/>
        <v>6.77763860959473E-2</v>
      </c>
    </row>
    <row r="59" spans="13:42" x14ac:dyDescent="0.25">
      <c r="M59" s="148">
        <v>4</v>
      </c>
      <c r="N59" s="179">
        <f t="shared" si="18"/>
        <v>21</v>
      </c>
      <c r="O59" s="31">
        <f t="shared" si="14"/>
        <v>9.64</v>
      </c>
      <c r="Q59" s="31">
        <f t="shared" si="15"/>
        <v>13.617865497075959</v>
      </c>
      <c r="R59" s="31">
        <f t="shared" si="16"/>
        <v>21.771929824561404</v>
      </c>
      <c r="T59" s="31">
        <f t="shared" si="17"/>
        <v>16.412224390687712</v>
      </c>
      <c r="AG59">
        <v>93</v>
      </c>
      <c r="AH59" s="74">
        <f t="shared" si="6"/>
        <v>4</v>
      </c>
      <c r="AI59" s="74">
        <f t="shared" si="7"/>
        <v>21</v>
      </c>
      <c r="AJ59" s="31">
        <f t="shared" si="7"/>
        <v>9.64</v>
      </c>
      <c r="AL59" s="35">
        <f t="shared" si="8"/>
        <v>9.9894683314894639</v>
      </c>
      <c r="AM59" s="35">
        <f t="shared" si="9"/>
        <v>0.34946833148946332</v>
      </c>
      <c r="AN59" s="35">
        <f t="shared" si="10"/>
        <v>0.12212811471402943</v>
      </c>
      <c r="AP59" s="31">
        <f t="shared" si="11"/>
        <v>0.23007469118069934</v>
      </c>
    </row>
    <row r="60" spans="13:42" x14ac:dyDescent="0.25">
      <c r="M60" s="148">
        <v>4</v>
      </c>
      <c r="N60" s="179">
        <f t="shared" si="18"/>
        <v>22</v>
      </c>
      <c r="O60" s="31">
        <f t="shared" si="14"/>
        <v>9.02</v>
      </c>
      <c r="Q60" s="31">
        <f t="shared" si="15"/>
        <v>12.997865497075958</v>
      </c>
      <c r="R60" s="31">
        <f t="shared" si="16"/>
        <v>22.771929824561404</v>
      </c>
      <c r="T60" s="31">
        <f t="shared" si="17"/>
        <v>15.920571253649733</v>
      </c>
      <c r="AG60">
        <v>94</v>
      </c>
      <c r="AH60" s="74">
        <f t="shared" si="6"/>
        <v>4</v>
      </c>
      <c r="AI60" s="74">
        <f t="shared" si="7"/>
        <v>22</v>
      </c>
      <c r="AJ60" s="31">
        <f t="shared" si="7"/>
        <v>9.02</v>
      </c>
      <c r="AL60" s="35">
        <f t="shared" si="8"/>
        <v>9.8611214685274398</v>
      </c>
      <c r="AM60" s="35">
        <f t="shared" si="9"/>
        <v>0.84112146852744019</v>
      </c>
      <c r="AN60" s="35">
        <f t="shared" si="10"/>
        <v>0.7074853248177575</v>
      </c>
      <c r="AP60" s="31">
        <f t="shared" si="11"/>
        <v>1.209254352197656</v>
      </c>
    </row>
    <row r="61" spans="13:42" x14ac:dyDescent="0.25">
      <c r="M61" s="148">
        <v>4</v>
      </c>
      <c r="N61" s="179">
        <f t="shared" si="18"/>
        <v>23</v>
      </c>
      <c r="O61" s="31">
        <f t="shared" si="14"/>
        <v>10.029999999999999</v>
      </c>
      <c r="Q61" s="31">
        <f t="shared" si="15"/>
        <v>14.007865497075958</v>
      </c>
      <c r="R61" s="31">
        <f t="shared" si="16"/>
        <v>23.771929824561404</v>
      </c>
      <c r="T61" s="31">
        <f t="shared" si="17"/>
        <v>17.058918116611757</v>
      </c>
      <c r="AG61">
        <v>95</v>
      </c>
      <c r="AH61" s="74">
        <f t="shared" si="6"/>
        <v>4</v>
      </c>
      <c r="AI61" s="74">
        <f t="shared" si="7"/>
        <v>23</v>
      </c>
      <c r="AJ61" s="31">
        <f t="shared" si="7"/>
        <v>10.029999999999999</v>
      </c>
      <c r="AL61" s="35">
        <f t="shared" si="8"/>
        <v>9.7327746055654174</v>
      </c>
      <c r="AM61" s="35">
        <f t="shared" si="9"/>
        <v>-0.29722539443458196</v>
      </c>
      <c r="AN61" s="35">
        <f t="shared" si="10"/>
        <v>8.8342935096792821E-2</v>
      </c>
      <c r="AP61" s="31">
        <f t="shared" si="11"/>
        <v>8.0390979603572107E-3</v>
      </c>
    </row>
    <row r="62" spans="13:42" x14ac:dyDescent="0.25">
      <c r="M62" s="148">
        <v>4</v>
      </c>
      <c r="N62" s="179">
        <f t="shared" si="18"/>
        <v>24</v>
      </c>
      <c r="O62" s="31">
        <f t="shared" si="14"/>
        <v>10.01</v>
      </c>
      <c r="Q62" s="31">
        <f t="shared" si="15"/>
        <v>13.987865497075958</v>
      </c>
      <c r="R62" s="31">
        <f t="shared" si="16"/>
        <v>24.771929824561404</v>
      </c>
      <c r="T62" s="31">
        <f t="shared" si="17"/>
        <v>17.16726497957378</v>
      </c>
      <c r="AG62">
        <v>96</v>
      </c>
      <c r="AH62" s="74">
        <f t="shared" si="6"/>
        <v>4</v>
      </c>
      <c r="AI62" s="74">
        <f t="shared" si="7"/>
        <v>24</v>
      </c>
      <c r="AJ62" s="31">
        <f t="shared" si="7"/>
        <v>10.01</v>
      </c>
      <c r="AL62" s="35">
        <f t="shared" si="8"/>
        <v>9.604427742603395</v>
      </c>
      <c r="AM62" s="35">
        <f t="shared" si="9"/>
        <v>-0.40557225739660474</v>
      </c>
      <c r="AN62" s="35">
        <f t="shared" si="10"/>
        <v>0.1644888559697778</v>
      </c>
      <c r="AP62" s="31">
        <f t="shared" si="11"/>
        <v>1.202553863832344E-2</v>
      </c>
    </row>
    <row r="63" spans="13:42" x14ac:dyDescent="0.25">
      <c r="M63" s="148">
        <v>5</v>
      </c>
      <c r="N63" s="179">
        <f t="shared" si="18"/>
        <v>1</v>
      </c>
      <c r="O63" s="31">
        <f t="shared" ref="O63:O86" si="19">G15</f>
        <v>11.71</v>
      </c>
      <c r="Q63" s="31">
        <f t="shared" si="15"/>
        <v>16.68233187134495</v>
      </c>
      <c r="R63" s="31">
        <f t="shared" si="16"/>
        <v>1.9649122807017538</v>
      </c>
      <c r="T63" s="31">
        <f t="shared" si="17"/>
        <v>16.934522198568573</v>
      </c>
      <c r="AG63">
        <v>97</v>
      </c>
      <c r="AH63" s="74">
        <f t="shared" si="6"/>
        <v>5</v>
      </c>
      <c r="AI63" s="74">
        <f t="shared" si="7"/>
        <v>1</v>
      </c>
      <c r="AJ63" s="31">
        <f t="shared" si="7"/>
        <v>11.71</v>
      </c>
      <c r="AL63" s="35">
        <f t="shared" si="8"/>
        <v>11.537170523608602</v>
      </c>
      <c r="AM63" s="35">
        <f t="shared" si="9"/>
        <v>-0.17282947639139934</v>
      </c>
      <c r="AN63" s="35">
        <f t="shared" si="10"/>
        <v>2.9870027909725261E-2</v>
      </c>
      <c r="AP63" s="31">
        <f t="shared" si="11"/>
        <v>2.529178081011191</v>
      </c>
    </row>
    <row r="64" spans="13:42" x14ac:dyDescent="0.25">
      <c r="M64" s="148">
        <v>5</v>
      </c>
      <c r="N64" s="179">
        <f t="shared" si="18"/>
        <v>2</v>
      </c>
      <c r="O64" s="31">
        <f t="shared" si="19"/>
        <v>11.65</v>
      </c>
      <c r="Q64" s="31">
        <f t="shared" si="15"/>
        <v>16.622331871344947</v>
      </c>
      <c r="R64" s="31">
        <f t="shared" si="16"/>
        <v>2.9649122807017538</v>
      </c>
      <c r="T64" s="31">
        <f t="shared" si="17"/>
        <v>17.002869061530593</v>
      </c>
      <c r="AG64">
        <v>98</v>
      </c>
      <c r="AH64" s="74">
        <f t="shared" si="6"/>
        <v>5</v>
      </c>
      <c r="AI64" s="74">
        <f t="shared" si="7"/>
        <v>2</v>
      </c>
      <c r="AJ64" s="31">
        <f t="shared" si="7"/>
        <v>11.65</v>
      </c>
      <c r="AL64" s="35">
        <f t="shared" si="8"/>
        <v>11.408823660646579</v>
      </c>
      <c r="AM64" s="35">
        <f t="shared" si="9"/>
        <v>-0.2411763393534212</v>
      </c>
      <c r="AN64" s="35">
        <f t="shared" si="10"/>
        <v>5.8166026663916584E-2</v>
      </c>
      <c r="AP64" s="31">
        <f t="shared" si="11"/>
        <v>2.3419374030450881</v>
      </c>
    </row>
    <row r="65" spans="13:42" x14ac:dyDescent="0.25">
      <c r="M65" s="148">
        <v>5</v>
      </c>
      <c r="N65" s="179">
        <f t="shared" si="18"/>
        <v>3</v>
      </c>
      <c r="O65" s="31">
        <f t="shared" si="19"/>
        <v>11.12</v>
      </c>
      <c r="Q65" s="31">
        <f t="shared" si="15"/>
        <v>16.092331871344946</v>
      </c>
      <c r="R65" s="31">
        <f t="shared" si="16"/>
        <v>3.9649122807017538</v>
      </c>
      <c r="T65" s="31">
        <f t="shared" si="17"/>
        <v>16.601215924492614</v>
      </c>
      <c r="AG65">
        <v>99</v>
      </c>
      <c r="AH65" s="74">
        <f t="shared" si="6"/>
        <v>5</v>
      </c>
      <c r="AI65" s="74">
        <f t="shared" si="7"/>
        <v>3</v>
      </c>
      <c r="AJ65" s="31">
        <f t="shared" si="7"/>
        <v>11.12</v>
      </c>
      <c r="AL65" s="35">
        <f t="shared" si="8"/>
        <v>11.280476797684557</v>
      </c>
      <c r="AM65" s="35">
        <f t="shared" si="9"/>
        <v>0.16047679768455758</v>
      </c>
      <c r="AN65" s="35">
        <f t="shared" si="10"/>
        <v>2.5752802595090427E-2</v>
      </c>
      <c r="AP65" s="31">
        <f t="shared" si="11"/>
        <v>1.0006780810111924</v>
      </c>
    </row>
    <row r="66" spans="13:42" x14ac:dyDescent="0.25">
      <c r="M66" s="148">
        <v>5</v>
      </c>
      <c r="N66" s="179">
        <f t="shared" si="18"/>
        <v>4</v>
      </c>
      <c r="O66" s="31">
        <f t="shared" si="19"/>
        <v>10.64</v>
      </c>
      <c r="Q66" s="31">
        <f t="shared" si="15"/>
        <v>15.612331871344949</v>
      </c>
      <c r="R66" s="31">
        <f t="shared" si="16"/>
        <v>4.9649122807017534</v>
      </c>
      <c r="T66" s="31">
        <f t="shared" si="17"/>
        <v>16.249562787454639</v>
      </c>
      <c r="AG66">
        <v>100</v>
      </c>
      <c r="AH66" s="74">
        <f t="shared" si="6"/>
        <v>5</v>
      </c>
      <c r="AI66" s="74">
        <f t="shared" si="7"/>
        <v>4</v>
      </c>
      <c r="AJ66" s="31">
        <f t="shared" si="7"/>
        <v>10.64</v>
      </c>
      <c r="AL66" s="35">
        <f t="shared" si="8"/>
        <v>11.152129934722534</v>
      </c>
      <c r="AM66" s="35">
        <f t="shared" si="9"/>
        <v>0.51212993472253387</v>
      </c>
      <c r="AN66" s="35">
        <f t="shared" si="10"/>
        <v>0.26227707003890682</v>
      </c>
      <c r="AP66" s="31">
        <f t="shared" si="11"/>
        <v>0.27075265728238562</v>
      </c>
    </row>
    <row r="67" spans="13:42" x14ac:dyDescent="0.25">
      <c r="M67" s="148">
        <v>5</v>
      </c>
      <c r="N67" s="179">
        <f t="shared" si="18"/>
        <v>5</v>
      </c>
      <c r="O67" s="31">
        <f t="shared" si="19"/>
        <v>10.94</v>
      </c>
      <c r="Q67" s="31">
        <f t="shared" si="15"/>
        <v>15.912331871344946</v>
      </c>
      <c r="R67" s="31">
        <f t="shared" si="16"/>
        <v>5.9649122807017534</v>
      </c>
      <c r="T67" s="31">
        <f t="shared" si="17"/>
        <v>16.677909650416659</v>
      </c>
      <c r="AG67">
        <v>101</v>
      </c>
      <c r="AH67" s="74">
        <f t="shared" si="6"/>
        <v>5</v>
      </c>
      <c r="AI67" s="74">
        <f t="shared" si="7"/>
        <v>5</v>
      </c>
      <c r="AJ67" s="31">
        <f t="shared" si="7"/>
        <v>10.94</v>
      </c>
      <c r="AL67" s="35">
        <f t="shared" si="8"/>
        <v>11.023783071760512</v>
      </c>
      <c r="AM67" s="35">
        <f t="shared" si="9"/>
        <v>8.3783071760512584E-2</v>
      </c>
      <c r="AN67" s="35">
        <f t="shared" si="10"/>
        <v>7.0196031136272015E-3</v>
      </c>
      <c r="AP67" s="31">
        <f t="shared" si="11"/>
        <v>0.67295604711288981</v>
      </c>
    </row>
    <row r="68" spans="13:42" x14ac:dyDescent="0.25">
      <c r="M68" s="148">
        <v>5</v>
      </c>
      <c r="N68" s="179">
        <f t="shared" si="18"/>
        <v>6</v>
      </c>
      <c r="O68" s="31">
        <f t="shared" si="19"/>
        <v>10.32</v>
      </c>
      <c r="Q68" s="31">
        <f t="shared" si="15"/>
        <v>15.292331871344949</v>
      </c>
      <c r="R68" s="31">
        <f t="shared" si="16"/>
        <v>6.9649122807017534</v>
      </c>
      <c r="T68" s="31">
        <f t="shared" si="17"/>
        <v>16.186256513378684</v>
      </c>
      <c r="AG68">
        <v>102</v>
      </c>
      <c r="AH68" s="74">
        <f t="shared" si="6"/>
        <v>5</v>
      </c>
      <c r="AI68" s="74">
        <f t="shared" si="7"/>
        <v>6</v>
      </c>
      <c r="AJ68" s="31">
        <f t="shared" si="7"/>
        <v>10.32</v>
      </c>
      <c r="AL68" s="35">
        <f t="shared" si="8"/>
        <v>10.89543620879849</v>
      </c>
      <c r="AM68" s="35">
        <f t="shared" si="9"/>
        <v>0.57543620879848945</v>
      </c>
      <c r="AN68" s="35">
        <f t="shared" si="10"/>
        <v>0.33112683039637875</v>
      </c>
      <c r="AP68" s="31">
        <f t="shared" si="11"/>
        <v>4.0135708129845904E-2</v>
      </c>
    </row>
    <row r="69" spans="13:42" x14ac:dyDescent="0.25">
      <c r="M69" s="148">
        <v>5</v>
      </c>
      <c r="N69" s="179">
        <f t="shared" si="18"/>
        <v>7</v>
      </c>
      <c r="O69" s="31">
        <f t="shared" si="19"/>
        <v>10.75</v>
      </c>
      <c r="Q69" s="31">
        <f t="shared" si="15"/>
        <v>15.722331871344949</v>
      </c>
      <c r="R69" s="31">
        <f t="shared" si="16"/>
        <v>7.9649122807017534</v>
      </c>
      <c r="T69" s="31">
        <f t="shared" si="17"/>
        <v>16.744603376340706</v>
      </c>
      <c r="AG69">
        <v>103</v>
      </c>
      <c r="AH69" s="74">
        <f t="shared" si="6"/>
        <v>5</v>
      </c>
      <c r="AI69" s="74">
        <f t="shared" si="7"/>
        <v>7</v>
      </c>
      <c r="AJ69" s="31">
        <f t="shared" si="7"/>
        <v>10.75</v>
      </c>
      <c r="AL69" s="35">
        <f t="shared" si="8"/>
        <v>10.767089345836467</v>
      </c>
      <c r="AM69" s="35">
        <f t="shared" si="9"/>
        <v>1.7089345836467373E-2</v>
      </c>
      <c r="AN69" s="35">
        <f t="shared" si="10"/>
        <v>2.9204574111838476E-4</v>
      </c>
      <c r="AP69" s="31">
        <f t="shared" si="11"/>
        <v>0.39732723355357041</v>
      </c>
    </row>
    <row r="70" spans="13:42" x14ac:dyDescent="0.25">
      <c r="M70" s="148">
        <v>5</v>
      </c>
      <c r="N70" s="179">
        <f t="shared" si="18"/>
        <v>8</v>
      </c>
      <c r="O70" s="31">
        <f t="shared" si="19"/>
        <v>10.19</v>
      </c>
      <c r="Q70" s="31">
        <f t="shared" si="15"/>
        <v>15.162331871344946</v>
      </c>
      <c r="R70" s="31">
        <f t="shared" si="16"/>
        <v>8.9649122807017534</v>
      </c>
      <c r="T70" s="31">
        <f t="shared" si="17"/>
        <v>16.312950239302726</v>
      </c>
      <c r="AG70">
        <v>104</v>
      </c>
      <c r="AH70" s="74">
        <f t="shared" si="6"/>
        <v>5</v>
      </c>
      <c r="AI70" s="74">
        <f t="shared" si="7"/>
        <v>8</v>
      </c>
      <c r="AJ70" s="31">
        <f t="shared" si="7"/>
        <v>10.19</v>
      </c>
      <c r="AL70" s="35">
        <f t="shared" si="8"/>
        <v>10.638742482874445</v>
      </c>
      <c r="AM70" s="35">
        <f t="shared" si="9"/>
        <v>0.44874248287444551</v>
      </c>
      <c r="AN70" s="35">
        <f t="shared" si="10"/>
        <v>0.20136981593632203</v>
      </c>
      <c r="AP70" s="31">
        <f t="shared" si="11"/>
        <v>4.9475725366266484E-3</v>
      </c>
    </row>
    <row r="71" spans="13:42" x14ac:dyDescent="0.25">
      <c r="M71" s="148">
        <v>5</v>
      </c>
      <c r="N71" s="179">
        <f t="shared" si="18"/>
        <v>9</v>
      </c>
      <c r="O71" s="31">
        <f t="shared" si="19"/>
        <v>9.4700000000000006</v>
      </c>
      <c r="Q71" s="31">
        <f t="shared" si="15"/>
        <v>14.442331871344948</v>
      </c>
      <c r="R71" s="31">
        <f t="shared" si="16"/>
        <v>9.9649122807017534</v>
      </c>
      <c r="T71" s="31">
        <f t="shared" si="17"/>
        <v>15.721297102264749</v>
      </c>
      <c r="AG71">
        <v>105</v>
      </c>
      <c r="AH71" s="74">
        <f t="shared" si="6"/>
        <v>5</v>
      </c>
      <c r="AI71" s="74">
        <f t="shared" si="7"/>
        <v>9</v>
      </c>
      <c r="AJ71" s="31">
        <f t="shared" si="7"/>
        <v>9.4700000000000006</v>
      </c>
      <c r="AL71" s="35">
        <f t="shared" si="8"/>
        <v>10.510395619912423</v>
      </c>
      <c r="AM71" s="35">
        <f t="shared" si="9"/>
        <v>1.040395619912422</v>
      </c>
      <c r="AN71" s="35">
        <f t="shared" si="10"/>
        <v>1.0824230459329529</v>
      </c>
      <c r="AP71" s="31">
        <f t="shared" si="11"/>
        <v>0.42205943694341258</v>
      </c>
    </row>
    <row r="72" spans="13:42" x14ac:dyDescent="0.25">
      <c r="M72" s="148">
        <v>5</v>
      </c>
      <c r="N72" s="179">
        <f t="shared" si="18"/>
        <v>10</v>
      </c>
      <c r="O72" s="31">
        <f t="shared" si="19"/>
        <v>10.61</v>
      </c>
      <c r="Q72" s="31">
        <f t="shared" si="15"/>
        <v>15.582331871344948</v>
      </c>
      <c r="R72" s="31">
        <f t="shared" si="16"/>
        <v>10.964912280701753</v>
      </c>
      <c r="T72" s="31">
        <f t="shared" si="17"/>
        <v>16.989643965226772</v>
      </c>
      <c r="AG72">
        <v>106</v>
      </c>
      <c r="AH72" s="74">
        <f t="shared" si="6"/>
        <v>5</v>
      </c>
      <c r="AI72" s="74">
        <f t="shared" si="7"/>
        <v>10</v>
      </c>
      <c r="AJ72" s="31">
        <f t="shared" si="7"/>
        <v>10.61</v>
      </c>
      <c r="AL72" s="35">
        <f t="shared" si="8"/>
        <v>10.382048756950399</v>
      </c>
      <c r="AM72" s="35">
        <f t="shared" si="9"/>
        <v>-0.2279512430496009</v>
      </c>
      <c r="AN72" s="35">
        <f t="shared" si="10"/>
        <v>5.1961769207858222E-2</v>
      </c>
      <c r="AP72" s="31">
        <f t="shared" si="11"/>
        <v>0.24043231829933392</v>
      </c>
    </row>
    <row r="73" spans="13:42" x14ac:dyDescent="0.25">
      <c r="M73" s="148">
        <v>5</v>
      </c>
      <c r="N73" s="179">
        <f t="shared" si="18"/>
        <v>11</v>
      </c>
      <c r="O73" s="31">
        <f t="shared" si="19"/>
        <v>9.51</v>
      </c>
      <c r="Q73" s="31">
        <f t="shared" si="15"/>
        <v>14.482331871344947</v>
      </c>
      <c r="R73" s="31">
        <f t="shared" si="16"/>
        <v>11.964912280701753</v>
      </c>
      <c r="T73" s="31">
        <f t="shared" si="17"/>
        <v>16.017990828188793</v>
      </c>
      <c r="AG73">
        <v>107</v>
      </c>
      <c r="AH73" s="74">
        <f t="shared" si="6"/>
        <v>5</v>
      </c>
      <c r="AI73" s="74">
        <f t="shared" si="7"/>
        <v>11</v>
      </c>
      <c r="AJ73" s="31">
        <f t="shared" si="7"/>
        <v>9.51</v>
      </c>
      <c r="AL73" s="35">
        <f t="shared" si="8"/>
        <v>10.253701893988376</v>
      </c>
      <c r="AM73" s="35">
        <f t="shared" si="9"/>
        <v>0.74370189398837638</v>
      </c>
      <c r="AN73" s="35">
        <f t="shared" si="10"/>
        <v>0.55309250712189828</v>
      </c>
      <c r="AP73" s="31">
        <f t="shared" si="11"/>
        <v>0.37168655558748109</v>
      </c>
    </row>
    <row r="74" spans="13:42" x14ac:dyDescent="0.25">
      <c r="M74" s="148">
        <v>5</v>
      </c>
      <c r="N74" s="179">
        <f t="shared" si="18"/>
        <v>12</v>
      </c>
      <c r="O74" s="31">
        <f t="shared" si="19"/>
        <v>9.14</v>
      </c>
      <c r="Q74" s="31">
        <f t="shared" si="15"/>
        <v>14.112331871344949</v>
      </c>
      <c r="R74" s="31">
        <f t="shared" si="16"/>
        <v>12.964912280701753</v>
      </c>
      <c r="T74" s="31">
        <f t="shared" si="17"/>
        <v>15.77633769115082</v>
      </c>
      <c r="AG74">
        <v>108</v>
      </c>
      <c r="AH74" s="74">
        <f t="shared" si="6"/>
        <v>5</v>
      </c>
      <c r="AI74" s="74">
        <f t="shared" si="7"/>
        <v>12</v>
      </c>
      <c r="AJ74" s="31">
        <f t="shared" si="7"/>
        <v>9.14</v>
      </c>
      <c r="AL74" s="35">
        <f t="shared" si="8"/>
        <v>10.125355031026354</v>
      </c>
      <c r="AM74" s="35">
        <f t="shared" si="9"/>
        <v>0.98535503102635325</v>
      </c>
      <c r="AN74" s="35">
        <f t="shared" si="10"/>
        <v>0.97092453716894556</v>
      </c>
      <c r="AP74" s="31">
        <f t="shared" si="11"/>
        <v>0.9597357081298562</v>
      </c>
    </row>
    <row r="75" spans="13:42" x14ac:dyDescent="0.25">
      <c r="M75" s="148">
        <v>5</v>
      </c>
      <c r="N75" s="179">
        <f t="shared" si="18"/>
        <v>13</v>
      </c>
      <c r="O75" s="31">
        <f t="shared" si="19"/>
        <v>9.59</v>
      </c>
      <c r="Q75" s="31">
        <f t="shared" si="15"/>
        <v>14.562331871344949</v>
      </c>
      <c r="R75" s="31">
        <f t="shared" si="16"/>
        <v>13.964912280701753</v>
      </c>
      <c r="T75" s="31">
        <f t="shared" si="17"/>
        <v>16.35468455411284</v>
      </c>
      <c r="AG75">
        <v>109</v>
      </c>
      <c r="AH75" s="74">
        <f t="shared" si="6"/>
        <v>5</v>
      </c>
      <c r="AI75" s="74">
        <f t="shared" si="7"/>
        <v>13</v>
      </c>
      <c r="AJ75" s="31">
        <f t="shared" si="7"/>
        <v>9.59</v>
      </c>
      <c r="AL75" s="35">
        <f t="shared" si="8"/>
        <v>9.9970081680643315</v>
      </c>
      <c r="AM75" s="35">
        <f t="shared" si="9"/>
        <v>0.4070081680643316</v>
      </c>
      <c r="AN75" s="35">
        <f t="shared" si="10"/>
        <v>0.16565564887108319</v>
      </c>
      <c r="AP75" s="31">
        <f t="shared" si="11"/>
        <v>0.28054079287561579</v>
      </c>
    </row>
    <row r="76" spans="13:42" x14ac:dyDescent="0.25">
      <c r="M76" s="148">
        <v>5</v>
      </c>
      <c r="N76" s="179">
        <f t="shared" si="18"/>
        <v>14</v>
      </c>
      <c r="O76" s="31">
        <f t="shared" si="19"/>
        <v>9.8699999999999992</v>
      </c>
      <c r="Q76" s="31">
        <f t="shared" si="15"/>
        <v>14.842331871344946</v>
      </c>
      <c r="R76" s="31">
        <f t="shared" si="16"/>
        <v>14.964912280701753</v>
      </c>
      <c r="T76" s="31">
        <f t="shared" si="17"/>
        <v>16.76303141707486</v>
      </c>
      <c r="AG76">
        <v>110</v>
      </c>
      <c r="AH76" s="74">
        <f t="shared" si="6"/>
        <v>5</v>
      </c>
      <c r="AI76" s="74">
        <f t="shared" si="7"/>
        <v>14</v>
      </c>
      <c r="AJ76" s="31">
        <f t="shared" si="7"/>
        <v>9.8699999999999992</v>
      </c>
      <c r="AL76" s="35">
        <f t="shared" si="8"/>
        <v>9.8686613051023091</v>
      </c>
      <c r="AM76" s="35">
        <f t="shared" si="9"/>
        <v>-1.3386948976901181E-3</v>
      </c>
      <c r="AN76" s="35">
        <f t="shared" si="10"/>
        <v>1.7921040291015557E-6</v>
      </c>
      <c r="AP76" s="31">
        <f t="shared" si="11"/>
        <v>6.233062338408786E-2</v>
      </c>
    </row>
    <row r="77" spans="13:42" x14ac:dyDescent="0.25">
      <c r="M77" s="148">
        <v>5</v>
      </c>
      <c r="N77" s="179">
        <f t="shared" si="18"/>
        <v>15</v>
      </c>
      <c r="O77" s="31">
        <f t="shared" si="19"/>
        <v>8.52</v>
      </c>
      <c r="Q77" s="31">
        <f t="shared" si="15"/>
        <v>13.492331871344948</v>
      </c>
      <c r="R77" s="31">
        <f t="shared" si="16"/>
        <v>15.964912280701753</v>
      </c>
      <c r="T77" s="31">
        <f t="shared" si="17"/>
        <v>15.541378280036886</v>
      </c>
      <c r="AG77">
        <v>111</v>
      </c>
      <c r="AH77" s="74">
        <f t="shared" si="6"/>
        <v>5</v>
      </c>
      <c r="AI77" s="74">
        <f t="shared" si="7"/>
        <v>15</v>
      </c>
      <c r="AJ77" s="31">
        <f t="shared" si="7"/>
        <v>8.52</v>
      </c>
      <c r="AL77" s="35">
        <f t="shared" si="8"/>
        <v>9.7403144421402867</v>
      </c>
      <c r="AM77" s="35">
        <f t="shared" si="9"/>
        <v>1.2203144421402872</v>
      </c>
      <c r="AN77" s="35">
        <f t="shared" si="10"/>
        <v>1.4891673376961603</v>
      </c>
      <c r="AP77" s="31">
        <f t="shared" si="11"/>
        <v>2.5589153691468138</v>
      </c>
    </row>
    <row r="78" spans="13:42" x14ac:dyDescent="0.25">
      <c r="M78" s="148">
        <v>5</v>
      </c>
      <c r="N78" s="179">
        <f t="shared" si="18"/>
        <v>16</v>
      </c>
      <c r="O78" s="31">
        <f t="shared" si="19"/>
        <v>9.2200000000000006</v>
      </c>
      <c r="Q78" s="31">
        <f t="shared" si="15"/>
        <v>14.192331871344948</v>
      </c>
      <c r="R78" s="31">
        <f t="shared" si="16"/>
        <v>16.964912280701753</v>
      </c>
      <c r="T78" s="31">
        <f t="shared" si="17"/>
        <v>16.369725142998909</v>
      </c>
      <c r="AG78">
        <v>112</v>
      </c>
      <c r="AH78" s="74">
        <f t="shared" si="6"/>
        <v>5</v>
      </c>
      <c r="AI78" s="74">
        <f t="shared" si="7"/>
        <v>16</v>
      </c>
      <c r="AJ78" s="31">
        <f t="shared" si="7"/>
        <v>9.2200000000000006</v>
      </c>
      <c r="AL78" s="35">
        <f t="shared" si="8"/>
        <v>9.6119675791782644</v>
      </c>
      <c r="AM78" s="35">
        <f t="shared" si="9"/>
        <v>0.39196757917826375</v>
      </c>
      <c r="AN78" s="35">
        <f t="shared" si="10"/>
        <v>0.15363858312686846</v>
      </c>
      <c r="AP78" s="31">
        <f t="shared" si="11"/>
        <v>0.80938994541799103</v>
      </c>
    </row>
    <row r="79" spans="13:42" x14ac:dyDescent="0.25">
      <c r="M79" s="148">
        <v>5</v>
      </c>
      <c r="N79" s="179">
        <f t="shared" si="18"/>
        <v>17</v>
      </c>
      <c r="O79" s="31">
        <f t="shared" si="19"/>
        <v>9.39</v>
      </c>
      <c r="Q79" s="31">
        <f t="shared" ref="Q79:Q110" si="20">O79-M79*$Q$12</f>
        <v>14.362331871344949</v>
      </c>
      <c r="R79" s="31">
        <f t="shared" ref="R79:R110" si="21">N79-M79*$R$12</f>
        <v>17.964912280701753</v>
      </c>
      <c r="T79" s="31">
        <f t="shared" ref="T79:T110" si="22">Q79-R79*$T$12</f>
        <v>16.66807200596093</v>
      </c>
      <c r="AG79">
        <v>113</v>
      </c>
      <c r="AH79" s="74">
        <f t="shared" si="6"/>
        <v>5</v>
      </c>
      <c r="AI79" s="74">
        <f t="shared" si="7"/>
        <v>17</v>
      </c>
      <c r="AJ79" s="31">
        <f t="shared" si="7"/>
        <v>9.39</v>
      </c>
      <c r="AL79" s="35">
        <f t="shared" si="8"/>
        <v>9.483620716216242</v>
      </c>
      <c r="AM79" s="35">
        <f t="shared" si="9"/>
        <v>9.3620716216241462E-2</v>
      </c>
      <c r="AN79" s="35">
        <f t="shared" si="10"/>
        <v>8.7648385048420176E-3</v>
      </c>
      <c r="AP79" s="31">
        <f t="shared" si="11"/>
        <v>0.53240519965527777</v>
      </c>
    </row>
    <row r="80" spans="13:42" x14ac:dyDescent="0.25">
      <c r="M80" s="148">
        <v>5</v>
      </c>
      <c r="N80" s="179">
        <f t="shared" si="18"/>
        <v>18</v>
      </c>
      <c r="O80" s="31">
        <f t="shared" si="19"/>
        <v>10.09</v>
      </c>
      <c r="Q80" s="31">
        <f t="shared" si="20"/>
        <v>15.062331871344949</v>
      </c>
      <c r="R80" s="31">
        <f t="shared" si="21"/>
        <v>18.964912280701753</v>
      </c>
      <c r="T80" s="31">
        <f t="shared" si="22"/>
        <v>17.496418868922952</v>
      </c>
      <c r="AG80">
        <v>114</v>
      </c>
      <c r="AH80" s="74">
        <f t="shared" ref="AH80:AH132" si="23">M80</f>
        <v>5</v>
      </c>
      <c r="AI80" s="74">
        <f t="shared" ref="AI80:AJ132" si="24">N80</f>
        <v>18</v>
      </c>
      <c r="AJ80" s="31">
        <f t="shared" si="24"/>
        <v>10.09</v>
      </c>
      <c r="AL80" s="35">
        <f t="shared" ref="AL80:AL131" si="25">$H$9+AH80*$H$7+AI80*$H$8</f>
        <v>9.3552738532542197</v>
      </c>
      <c r="AM80" s="35">
        <f t="shared" ref="AM80:AM131" si="26">AL80-AJ80</f>
        <v>-0.73472614674578018</v>
      </c>
      <c r="AN80" s="35">
        <f t="shared" ref="AN80:AN132" si="27">AM80^2</f>
        <v>0.53982251071190168</v>
      </c>
      <c r="AP80" s="31">
        <f t="shared" ref="AP80:AP132" si="28">(AJ80-$AJ$13)^2</f>
        <v>8.7977592645821262E-4</v>
      </c>
    </row>
    <row r="81" spans="13:42" x14ac:dyDescent="0.25">
      <c r="M81" s="148">
        <v>5</v>
      </c>
      <c r="N81" s="179">
        <f t="shared" si="18"/>
        <v>19</v>
      </c>
      <c r="O81" s="31">
        <f t="shared" si="19"/>
        <v>9</v>
      </c>
      <c r="Q81" s="31">
        <f t="shared" si="20"/>
        <v>13.972331871344949</v>
      </c>
      <c r="R81" s="31">
        <f t="shared" si="21"/>
        <v>19.964912280701753</v>
      </c>
      <c r="T81" s="31">
        <f t="shared" si="22"/>
        <v>16.534765731884974</v>
      </c>
      <c r="AG81">
        <v>115</v>
      </c>
      <c r="AH81" s="74">
        <f t="shared" si="23"/>
        <v>5</v>
      </c>
      <c r="AI81" s="74">
        <f t="shared" si="24"/>
        <v>19</v>
      </c>
      <c r="AJ81" s="31">
        <f t="shared" si="24"/>
        <v>9</v>
      </c>
      <c r="AL81" s="35">
        <f t="shared" si="25"/>
        <v>9.2269269902921973</v>
      </c>
      <c r="AM81" s="35">
        <f t="shared" si="26"/>
        <v>0.22692699029219732</v>
      </c>
      <c r="AN81" s="35">
        <f t="shared" si="27"/>
        <v>5.1495858923075018E-2</v>
      </c>
      <c r="AP81" s="31">
        <f t="shared" si="28"/>
        <v>1.2536407928756215</v>
      </c>
    </row>
    <row r="82" spans="13:42" x14ac:dyDescent="0.25">
      <c r="M82" s="148">
        <v>5</v>
      </c>
      <c r="N82" s="179">
        <f t="shared" si="18"/>
        <v>20</v>
      </c>
      <c r="O82" s="31">
        <f t="shared" si="19"/>
        <v>9.59</v>
      </c>
      <c r="Q82" s="31">
        <f t="shared" si="20"/>
        <v>14.562331871344949</v>
      </c>
      <c r="R82" s="31">
        <f t="shared" si="21"/>
        <v>20.964912280701753</v>
      </c>
      <c r="T82" s="31">
        <f t="shared" si="22"/>
        <v>17.253112594847</v>
      </c>
      <c r="AG82">
        <v>116</v>
      </c>
      <c r="AH82" s="74">
        <f t="shared" si="23"/>
        <v>5</v>
      </c>
      <c r="AI82" s="74">
        <f t="shared" si="24"/>
        <v>20</v>
      </c>
      <c r="AJ82" s="31">
        <f t="shared" si="24"/>
        <v>9.59</v>
      </c>
      <c r="AL82" s="35">
        <f t="shared" si="25"/>
        <v>9.098580127330175</v>
      </c>
      <c r="AM82" s="35">
        <f t="shared" si="26"/>
        <v>-0.4914198726698249</v>
      </c>
      <c r="AN82" s="35">
        <f t="shared" si="27"/>
        <v>0.24149349125482691</v>
      </c>
      <c r="AP82" s="31">
        <f t="shared" si="28"/>
        <v>0.28054079287561579</v>
      </c>
    </row>
    <row r="83" spans="13:42" x14ac:dyDescent="0.25">
      <c r="M83" s="148">
        <v>5</v>
      </c>
      <c r="N83" s="179">
        <f t="shared" si="18"/>
        <v>21</v>
      </c>
      <c r="O83" s="31">
        <f t="shared" si="19"/>
        <v>8.39</v>
      </c>
      <c r="Q83" s="31">
        <f t="shared" si="20"/>
        <v>13.362331871344949</v>
      </c>
      <c r="R83" s="31">
        <f t="shared" si="21"/>
        <v>21.964912280701753</v>
      </c>
      <c r="T83" s="31">
        <f t="shared" si="22"/>
        <v>16.181459457809023</v>
      </c>
      <c r="AG83">
        <v>117</v>
      </c>
      <c r="AH83" s="74">
        <f t="shared" si="23"/>
        <v>5</v>
      </c>
      <c r="AI83" s="74">
        <f t="shared" si="24"/>
        <v>21</v>
      </c>
      <c r="AJ83" s="31">
        <f t="shared" si="24"/>
        <v>8.39</v>
      </c>
      <c r="AL83" s="35">
        <f t="shared" si="25"/>
        <v>8.9702332643681526</v>
      </c>
      <c r="AM83" s="35">
        <f t="shared" si="26"/>
        <v>0.58023326436815204</v>
      </c>
      <c r="AN83" s="35">
        <f t="shared" si="27"/>
        <v>0.33667064107932182</v>
      </c>
      <c r="AP83" s="31">
        <f t="shared" si="28"/>
        <v>2.9917272335535916</v>
      </c>
    </row>
    <row r="84" spans="13:42" x14ac:dyDescent="0.25">
      <c r="M84" s="148">
        <v>5</v>
      </c>
      <c r="N84" s="179">
        <f t="shared" si="18"/>
        <v>22</v>
      </c>
      <c r="O84" s="31">
        <f t="shared" si="19"/>
        <v>8.5500000000000007</v>
      </c>
      <c r="Q84" s="31">
        <f t="shared" si="20"/>
        <v>13.522331871344949</v>
      </c>
      <c r="R84" s="31">
        <f t="shared" si="21"/>
        <v>22.964912280701753</v>
      </c>
      <c r="T84" s="31">
        <f t="shared" si="22"/>
        <v>16.469806320771045</v>
      </c>
      <c r="AG84">
        <v>118</v>
      </c>
      <c r="AH84" s="74">
        <f t="shared" si="23"/>
        <v>5</v>
      </c>
      <c r="AI84" s="74">
        <f t="shared" si="24"/>
        <v>22</v>
      </c>
      <c r="AJ84" s="31">
        <f t="shared" si="24"/>
        <v>8.5500000000000007</v>
      </c>
      <c r="AL84" s="35">
        <f t="shared" si="25"/>
        <v>8.8418864014061285</v>
      </c>
      <c r="AM84" s="35">
        <f t="shared" si="26"/>
        <v>0.29188640140612776</v>
      </c>
      <c r="AN84" s="35">
        <f t="shared" si="27"/>
        <v>8.5197671325819138E-2</v>
      </c>
      <c r="AP84" s="31">
        <f t="shared" si="28"/>
        <v>2.463835708129861</v>
      </c>
    </row>
    <row r="85" spans="13:42" x14ac:dyDescent="0.25">
      <c r="M85" s="148">
        <v>5</v>
      </c>
      <c r="N85" s="179">
        <f t="shared" si="18"/>
        <v>23</v>
      </c>
      <c r="O85" s="31">
        <f t="shared" si="19"/>
        <v>9.08</v>
      </c>
      <c r="Q85" s="31">
        <f t="shared" si="20"/>
        <v>14.052331871344947</v>
      </c>
      <c r="R85" s="31">
        <f t="shared" si="21"/>
        <v>23.964912280701753</v>
      </c>
      <c r="T85" s="31">
        <f t="shared" si="22"/>
        <v>17.128153183733065</v>
      </c>
      <c r="AG85">
        <v>119</v>
      </c>
      <c r="AH85" s="74">
        <f t="shared" si="23"/>
        <v>5</v>
      </c>
      <c r="AI85" s="74">
        <f t="shared" si="24"/>
        <v>23</v>
      </c>
      <c r="AJ85" s="31">
        <f t="shared" si="24"/>
        <v>9.08</v>
      </c>
      <c r="AL85" s="35">
        <f t="shared" si="25"/>
        <v>8.7135395384441061</v>
      </c>
      <c r="AM85" s="35">
        <f t="shared" si="26"/>
        <v>-0.36646046155589396</v>
      </c>
      <c r="AN85" s="35">
        <f t="shared" si="27"/>
        <v>0.13429326988375884</v>
      </c>
      <c r="AP85" s="31">
        <f t="shared" si="28"/>
        <v>1.0808950301637561</v>
      </c>
    </row>
    <row r="86" spans="13:42" x14ac:dyDescent="0.25">
      <c r="M86" s="148">
        <v>5</v>
      </c>
      <c r="N86" s="179">
        <f t="shared" si="18"/>
        <v>24</v>
      </c>
      <c r="O86" s="31">
        <f t="shared" si="19"/>
        <v>10.45</v>
      </c>
      <c r="Q86" s="31">
        <f t="shared" si="20"/>
        <v>15.422331871344948</v>
      </c>
      <c r="R86" s="31">
        <f t="shared" si="21"/>
        <v>24.964912280701753</v>
      </c>
      <c r="T86" s="31">
        <f t="shared" si="22"/>
        <v>18.626500046695089</v>
      </c>
      <c r="AG86">
        <v>120</v>
      </c>
      <c r="AH86" s="74">
        <f t="shared" si="23"/>
        <v>5</v>
      </c>
      <c r="AI86" s="74">
        <f t="shared" si="24"/>
        <v>24</v>
      </c>
      <c r="AJ86" s="31">
        <f t="shared" si="24"/>
        <v>10.45</v>
      </c>
      <c r="AL86" s="35">
        <f t="shared" si="25"/>
        <v>8.5851926754820838</v>
      </c>
      <c r="AM86" s="35">
        <f t="shared" si="26"/>
        <v>-1.8648073245179155</v>
      </c>
      <c r="AN86" s="35">
        <f t="shared" si="27"/>
        <v>3.4775063575756664</v>
      </c>
      <c r="AP86" s="31">
        <f t="shared" si="28"/>
        <v>0.10912384372306438</v>
      </c>
    </row>
    <row r="87" spans="13:42" x14ac:dyDescent="0.25">
      <c r="M87" s="148">
        <v>6</v>
      </c>
      <c r="N87" s="179">
        <f t="shared" si="18"/>
        <v>1</v>
      </c>
      <c r="O87" s="31">
        <f t="shared" ref="O87:O110" si="29">H15</f>
        <v>11.38</v>
      </c>
      <c r="Q87" s="31">
        <f t="shared" si="20"/>
        <v>17.34679824561394</v>
      </c>
      <c r="R87" s="31">
        <f t="shared" si="21"/>
        <v>2.1578947368421044</v>
      </c>
      <c r="T87" s="31">
        <f t="shared" si="22"/>
        <v>17.623757265689882</v>
      </c>
      <c r="AG87">
        <v>121</v>
      </c>
      <c r="AH87" s="74">
        <f t="shared" si="23"/>
        <v>6</v>
      </c>
      <c r="AI87" s="74">
        <f t="shared" si="24"/>
        <v>1</v>
      </c>
      <c r="AJ87" s="31">
        <f t="shared" si="24"/>
        <v>11.38</v>
      </c>
      <c r="AL87" s="35">
        <f t="shared" si="25"/>
        <v>10.517935456487292</v>
      </c>
      <c r="AM87" s="35">
        <f t="shared" si="26"/>
        <v>-0.86206454351270878</v>
      </c>
      <c r="AN87" s="35">
        <f t="shared" si="27"/>
        <v>0.74315527718177499</v>
      </c>
      <c r="AP87" s="31">
        <f t="shared" si="28"/>
        <v>1.588454352197634</v>
      </c>
    </row>
    <row r="88" spans="13:42" x14ac:dyDescent="0.25">
      <c r="M88" s="148">
        <v>6</v>
      </c>
      <c r="N88" s="179">
        <f t="shared" si="18"/>
        <v>2</v>
      </c>
      <c r="O88" s="31">
        <f t="shared" si="29"/>
        <v>10.56</v>
      </c>
      <c r="Q88" s="31">
        <f t="shared" si="20"/>
        <v>16.526798245613939</v>
      </c>
      <c r="R88" s="31">
        <f t="shared" si="21"/>
        <v>3.1578947368421044</v>
      </c>
      <c r="T88" s="31">
        <f t="shared" si="22"/>
        <v>16.932104128651904</v>
      </c>
      <c r="AG88">
        <v>122</v>
      </c>
      <c r="AH88" s="74">
        <f t="shared" si="23"/>
        <v>6</v>
      </c>
      <c r="AI88" s="74">
        <f t="shared" si="24"/>
        <v>2</v>
      </c>
      <c r="AJ88" s="31">
        <f t="shared" si="24"/>
        <v>10.56</v>
      </c>
      <c r="AL88" s="35">
        <f t="shared" si="25"/>
        <v>10.38958859352527</v>
      </c>
      <c r="AM88" s="35">
        <f t="shared" si="26"/>
        <v>-0.17041140647473085</v>
      </c>
      <c r="AN88" s="35">
        <f t="shared" si="27"/>
        <v>2.9040047456695941E-2</v>
      </c>
      <c r="AP88" s="31">
        <f t="shared" si="28"/>
        <v>0.19389841999425067</v>
      </c>
    </row>
    <row r="89" spans="13:42" x14ac:dyDescent="0.25">
      <c r="M89" s="148">
        <v>6</v>
      </c>
      <c r="N89" s="179">
        <f t="shared" si="18"/>
        <v>3</v>
      </c>
      <c r="O89" s="31">
        <f t="shared" si="29"/>
        <v>10.3</v>
      </c>
      <c r="Q89" s="31">
        <f t="shared" si="20"/>
        <v>16.266798245613938</v>
      </c>
      <c r="R89" s="31">
        <f t="shared" si="21"/>
        <v>4.1578947368421044</v>
      </c>
      <c r="T89" s="31">
        <f t="shared" si="22"/>
        <v>16.800450991613925</v>
      </c>
      <c r="AG89">
        <v>123</v>
      </c>
      <c r="AH89" s="74">
        <f t="shared" si="23"/>
        <v>6</v>
      </c>
      <c r="AI89" s="74">
        <f t="shared" si="24"/>
        <v>3</v>
      </c>
      <c r="AJ89" s="31">
        <f t="shared" si="24"/>
        <v>10.3</v>
      </c>
      <c r="AL89" s="35">
        <f t="shared" si="25"/>
        <v>10.261241730563247</v>
      </c>
      <c r="AM89" s="35">
        <f t="shared" si="26"/>
        <v>-3.8758269436753423E-2</v>
      </c>
      <c r="AN89" s="35">
        <f t="shared" si="27"/>
        <v>1.5022034497319744E-3</v>
      </c>
      <c r="AP89" s="31">
        <f t="shared" si="28"/>
        <v>3.2522148807812339E-2</v>
      </c>
    </row>
    <row r="90" spans="13:42" x14ac:dyDescent="0.25">
      <c r="M90" s="148">
        <v>6</v>
      </c>
      <c r="N90" s="179">
        <f t="shared" si="18"/>
        <v>4</v>
      </c>
      <c r="O90" s="31">
        <f t="shared" si="29"/>
        <v>9.7100000000000009</v>
      </c>
      <c r="Q90" s="31">
        <f t="shared" si="20"/>
        <v>15.676798245613938</v>
      </c>
      <c r="R90" s="31">
        <f t="shared" si="21"/>
        <v>5.1578947368421044</v>
      </c>
      <c r="T90" s="31">
        <f t="shared" si="22"/>
        <v>16.338797854575947</v>
      </c>
      <c r="AG90">
        <v>124</v>
      </c>
      <c r="AH90" s="74">
        <f t="shared" si="23"/>
        <v>6</v>
      </c>
      <c r="AI90" s="74">
        <f t="shared" si="24"/>
        <v>4</v>
      </c>
      <c r="AJ90" s="31">
        <f t="shared" si="24"/>
        <v>9.7100000000000009</v>
      </c>
      <c r="AL90" s="35">
        <f t="shared" si="25"/>
        <v>10.132894867601225</v>
      </c>
      <c r="AM90" s="35">
        <f t="shared" si="26"/>
        <v>0.42289486760122408</v>
      </c>
      <c r="AN90" s="35">
        <f t="shared" si="27"/>
        <v>0.17884006904345684</v>
      </c>
      <c r="AP90" s="31">
        <f t="shared" si="28"/>
        <v>0.16782214880781715</v>
      </c>
    </row>
    <row r="91" spans="13:42" x14ac:dyDescent="0.25">
      <c r="M91" s="148">
        <v>6</v>
      </c>
      <c r="N91" s="179">
        <f t="shared" si="18"/>
        <v>5</v>
      </c>
      <c r="O91" s="31">
        <f t="shared" si="29"/>
        <v>10.16</v>
      </c>
      <c r="Q91" s="31">
        <f t="shared" si="20"/>
        <v>16.126798245613937</v>
      </c>
      <c r="R91" s="31">
        <f t="shared" si="21"/>
        <v>6.1578947368421044</v>
      </c>
      <c r="T91" s="31">
        <f t="shared" si="22"/>
        <v>16.917144717537969</v>
      </c>
      <c r="AG91">
        <v>125</v>
      </c>
      <c r="AH91" s="74">
        <f t="shared" si="23"/>
        <v>6</v>
      </c>
      <c r="AI91" s="74">
        <f t="shared" si="24"/>
        <v>5</v>
      </c>
      <c r="AJ91" s="31">
        <f t="shared" si="24"/>
        <v>10.16</v>
      </c>
      <c r="AL91" s="35">
        <f t="shared" si="25"/>
        <v>10.004548004639203</v>
      </c>
      <c r="AM91" s="35">
        <f t="shared" si="26"/>
        <v>-0.15545199536079757</v>
      </c>
      <c r="AN91" s="35">
        <f t="shared" si="27"/>
        <v>2.4165322861653429E-2</v>
      </c>
      <c r="AP91" s="31">
        <f t="shared" si="28"/>
        <v>1.6272335535761758E-3</v>
      </c>
    </row>
    <row r="92" spans="13:42" x14ac:dyDescent="0.25">
      <c r="M92" s="148">
        <v>6</v>
      </c>
      <c r="N92" s="179">
        <f t="shared" si="18"/>
        <v>6</v>
      </c>
      <c r="O92" s="31">
        <f t="shared" si="29"/>
        <v>9.92</v>
      </c>
      <c r="Q92" s="31">
        <f t="shared" si="20"/>
        <v>15.886798245613937</v>
      </c>
      <c r="R92" s="31">
        <f t="shared" si="21"/>
        <v>7.1578947368421044</v>
      </c>
      <c r="T92" s="31">
        <f t="shared" si="22"/>
        <v>16.805491580499993</v>
      </c>
      <c r="AG92">
        <v>126</v>
      </c>
      <c r="AH92" s="74">
        <f t="shared" si="23"/>
        <v>6</v>
      </c>
      <c r="AI92" s="74">
        <f t="shared" si="24"/>
        <v>6</v>
      </c>
      <c r="AJ92" s="31">
        <f t="shared" si="24"/>
        <v>9.92</v>
      </c>
      <c r="AL92" s="35">
        <f t="shared" si="25"/>
        <v>9.8762011416771802</v>
      </c>
      <c r="AM92" s="35">
        <f t="shared" si="26"/>
        <v>-4.3798858322819711E-2</v>
      </c>
      <c r="AN92" s="35">
        <f t="shared" si="27"/>
        <v>1.9183399903824334E-3</v>
      </c>
      <c r="AP92" s="31">
        <f t="shared" si="28"/>
        <v>3.9864521689171761E-2</v>
      </c>
    </row>
    <row r="93" spans="13:42" x14ac:dyDescent="0.25">
      <c r="M93" s="148">
        <v>6</v>
      </c>
      <c r="N93" s="179">
        <f t="shared" si="18"/>
        <v>7</v>
      </c>
      <c r="O93" s="31">
        <f t="shared" si="29"/>
        <v>9.83</v>
      </c>
      <c r="Q93" s="31">
        <f t="shared" si="20"/>
        <v>15.796798245613937</v>
      </c>
      <c r="R93" s="31">
        <f t="shared" si="21"/>
        <v>8.1578947368421044</v>
      </c>
      <c r="T93" s="31">
        <f t="shared" si="22"/>
        <v>16.843838443462015</v>
      </c>
      <c r="AG93">
        <v>127</v>
      </c>
      <c r="AH93" s="74">
        <f t="shared" si="23"/>
        <v>6</v>
      </c>
      <c r="AI93" s="74">
        <f t="shared" si="24"/>
        <v>7</v>
      </c>
      <c r="AJ93" s="31">
        <f t="shared" si="24"/>
        <v>9.83</v>
      </c>
      <c r="AL93" s="35">
        <f t="shared" si="25"/>
        <v>9.7478542787151579</v>
      </c>
      <c r="AM93" s="35">
        <f t="shared" si="26"/>
        <v>-8.214572128484221E-2</v>
      </c>
      <c r="AN93" s="35">
        <f t="shared" si="27"/>
        <v>6.7479195254069781E-3</v>
      </c>
      <c r="AP93" s="31">
        <f t="shared" si="28"/>
        <v>8.3903504740020021E-2</v>
      </c>
    </row>
    <row r="94" spans="13:42" x14ac:dyDescent="0.25">
      <c r="M94" s="148">
        <v>6</v>
      </c>
      <c r="N94" s="179">
        <f t="shared" si="18"/>
        <v>8</v>
      </c>
      <c r="O94" s="31">
        <f t="shared" si="29"/>
        <v>10.88</v>
      </c>
      <c r="Q94" s="31">
        <f t="shared" si="20"/>
        <v>16.84679824561394</v>
      </c>
      <c r="R94" s="31">
        <f t="shared" si="21"/>
        <v>9.1578947368421044</v>
      </c>
      <c r="T94" s="31">
        <f t="shared" si="22"/>
        <v>18.022185306424038</v>
      </c>
      <c r="AG94">
        <v>128</v>
      </c>
      <c r="AH94" s="74">
        <f t="shared" si="23"/>
        <v>6</v>
      </c>
      <c r="AI94" s="74">
        <f t="shared" si="24"/>
        <v>8</v>
      </c>
      <c r="AJ94" s="31">
        <f t="shared" si="24"/>
        <v>10.88</v>
      </c>
      <c r="AL94" s="35">
        <f t="shared" si="25"/>
        <v>9.6195074157531337</v>
      </c>
      <c r="AM94" s="35">
        <f t="shared" si="26"/>
        <v>-1.2604925842468671</v>
      </c>
      <c r="AN94" s="35">
        <f t="shared" si="27"/>
        <v>1.5888415549413453</v>
      </c>
      <c r="AP94" s="31">
        <f t="shared" si="28"/>
        <v>0.57811536914679063</v>
      </c>
    </row>
    <row r="95" spans="13:42" x14ac:dyDescent="0.25">
      <c r="M95" s="148">
        <v>6</v>
      </c>
      <c r="N95" s="179">
        <f t="shared" si="18"/>
        <v>9</v>
      </c>
      <c r="O95" s="31">
        <f t="shared" si="29"/>
        <v>9.02</v>
      </c>
      <c r="Q95" s="31">
        <f t="shared" si="20"/>
        <v>14.986798245613937</v>
      </c>
      <c r="R95" s="31">
        <f t="shared" si="21"/>
        <v>10.157894736842104</v>
      </c>
      <c r="T95" s="31">
        <f t="shared" si="22"/>
        <v>16.290532169386058</v>
      </c>
      <c r="AG95">
        <v>129</v>
      </c>
      <c r="AH95" s="74">
        <f t="shared" si="23"/>
        <v>6</v>
      </c>
      <c r="AI95" s="74">
        <f t="shared" si="24"/>
        <v>9</v>
      </c>
      <c r="AJ95" s="31">
        <f t="shared" si="24"/>
        <v>9.02</v>
      </c>
      <c r="AL95" s="35">
        <f t="shared" si="25"/>
        <v>9.4911605527911114</v>
      </c>
      <c r="AM95" s="35">
        <f t="shared" si="26"/>
        <v>0.4711605527911118</v>
      </c>
      <c r="AN95" s="35">
        <f t="shared" si="27"/>
        <v>0.22199226650642603</v>
      </c>
      <c r="AP95" s="31">
        <f t="shared" si="28"/>
        <v>1.209254352197656</v>
      </c>
    </row>
    <row r="96" spans="13:42" x14ac:dyDescent="0.25">
      <c r="M96" s="148">
        <v>6</v>
      </c>
      <c r="N96" s="179">
        <f t="shared" si="18"/>
        <v>10</v>
      </c>
      <c r="O96" s="31">
        <f t="shared" si="29"/>
        <v>9.69</v>
      </c>
      <c r="Q96" s="31">
        <f t="shared" si="20"/>
        <v>15.656798245613937</v>
      </c>
      <c r="R96" s="31">
        <f t="shared" si="21"/>
        <v>11.157894736842104</v>
      </c>
      <c r="T96" s="31">
        <f t="shared" si="22"/>
        <v>17.088879032348082</v>
      </c>
      <c r="AG96">
        <v>130</v>
      </c>
      <c r="AH96" s="74">
        <f t="shared" si="23"/>
        <v>6</v>
      </c>
      <c r="AI96" s="74">
        <f t="shared" si="24"/>
        <v>10</v>
      </c>
      <c r="AJ96" s="31">
        <f t="shared" si="24"/>
        <v>9.69</v>
      </c>
      <c r="AL96" s="35">
        <f t="shared" si="25"/>
        <v>9.362813689829089</v>
      </c>
      <c r="AM96" s="35">
        <f t="shared" si="26"/>
        <v>-0.32718631017091049</v>
      </c>
      <c r="AN96" s="35">
        <f t="shared" si="27"/>
        <v>0.10705088156325525</v>
      </c>
      <c r="AP96" s="31">
        <f t="shared" si="28"/>
        <v>0.18460858948578457</v>
      </c>
    </row>
    <row r="97" spans="13:42" x14ac:dyDescent="0.25">
      <c r="M97" s="148">
        <v>6</v>
      </c>
      <c r="N97" s="179">
        <f t="shared" si="18"/>
        <v>11</v>
      </c>
      <c r="O97" s="31">
        <f t="shared" si="29"/>
        <v>9.2899999999999991</v>
      </c>
      <c r="Q97" s="31">
        <f t="shared" si="20"/>
        <v>15.256798245613936</v>
      </c>
      <c r="R97" s="31">
        <f t="shared" si="21"/>
        <v>12.157894736842104</v>
      </c>
      <c r="T97" s="31">
        <f t="shared" si="22"/>
        <v>16.817225895310102</v>
      </c>
      <c r="AG97">
        <v>131</v>
      </c>
      <c r="AH97" s="74">
        <f t="shared" si="23"/>
        <v>6</v>
      </c>
      <c r="AI97" s="74">
        <f t="shared" si="24"/>
        <v>11</v>
      </c>
      <c r="AJ97" s="31">
        <f t="shared" si="24"/>
        <v>9.2899999999999991</v>
      </c>
      <c r="AL97" s="35">
        <f t="shared" si="25"/>
        <v>9.2344668268670667</v>
      </c>
      <c r="AM97" s="35">
        <f t="shared" si="26"/>
        <v>-5.553317313293249E-2</v>
      </c>
      <c r="AN97" s="35">
        <f t="shared" si="27"/>
        <v>3.0839333182122548E-3</v>
      </c>
      <c r="AP97" s="31">
        <f t="shared" si="28"/>
        <v>0.68833740304511148</v>
      </c>
    </row>
    <row r="98" spans="13:42" x14ac:dyDescent="0.25">
      <c r="M98" s="148">
        <v>6</v>
      </c>
      <c r="N98" s="179">
        <f t="shared" si="18"/>
        <v>12</v>
      </c>
      <c r="O98" s="31">
        <f t="shared" si="29"/>
        <v>9.44</v>
      </c>
      <c r="Q98" s="31">
        <f t="shared" si="20"/>
        <v>15.406798245613937</v>
      </c>
      <c r="R98" s="31">
        <f t="shared" si="21"/>
        <v>13.157894736842104</v>
      </c>
      <c r="T98" s="31">
        <f t="shared" si="22"/>
        <v>17.095572758272127</v>
      </c>
      <c r="AG98">
        <v>132</v>
      </c>
      <c r="AH98" s="74">
        <f t="shared" si="23"/>
        <v>6</v>
      </c>
      <c r="AI98" s="74">
        <f t="shared" si="24"/>
        <v>12</v>
      </c>
      <c r="AJ98" s="31">
        <f t="shared" si="24"/>
        <v>9.44</v>
      </c>
      <c r="AL98" s="35">
        <f t="shared" si="25"/>
        <v>9.1061199639050443</v>
      </c>
      <c r="AM98" s="35">
        <f t="shared" si="26"/>
        <v>-0.3338800360949552</v>
      </c>
      <c r="AN98" s="35">
        <f t="shared" si="27"/>
        <v>0.11147587850276859</v>
      </c>
      <c r="AP98" s="31">
        <f t="shared" si="28"/>
        <v>0.46193909796036353</v>
      </c>
    </row>
    <row r="99" spans="13:42" x14ac:dyDescent="0.25">
      <c r="M99" s="148">
        <v>6</v>
      </c>
      <c r="N99" s="179">
        <f t="shared" si="18"/>
        <v>13</v>
      </c>
      <c r="O99" s="31">
        <f t="shared" si="29"/>
        <v>9.8699999999999992</v>
      </c>
      <c r="Q99" s="31">
        <f t="shared" si="20"/>
        <v>15.836798245613936</v>
      </c>
      <c r="R99" s="31">
        <f t="shared" si="21"/>
        <v>14.157894736842104</v>
      </c>
      <c r="T99" s="31">
        <f t="shared" si="22"/>
        <v>17.653919621234149</v>
      </c>
      <c r="AG99">
        <v>133</v>
      </c>
      <c r="AH99" s="74">
        <f t="shared" si="23"/>
        <v>6</v>
      </c>
      <c r="AI99" s="74">
        <f t="shared" si="24"/>
        <v>13</v>
      </c>
      <c r="AJ99" s="31">
        <f t="shared" si="24"/>
        <v>9.8699999999999992</v>
      </c>
      <c r="AL99" s="35">
        <f t="shared" si="25"/>
        <v>8.9777731009430219</v>
      </c>
      <c r="AM99" s="35">
        <f t="shared" si="26"/>
        <v>-0.89222689905697727</v>
      </c>
      <c r="AN99" s="35">
        <f t="shared" si="27"/>
        <v>0.79606883940082951</v>
      </c>
      <c r="AP99" s="31">
        <f t="shared" si="28"/>
        <v>6.233062338408786E-2</v>
      </c>
    </row>
    <row r="100" spans="13:42" x14ac:dyDescent="0.25">
      <c r="M100" s="148">
        <v>6</v>
      </c>
      <c r="N100" s="179">
        <f t="shared" si="18"/>
        <v>14</v>
      </c>
      <c r="O100" s="31">
        <f t="shared" si="29"/>
        <v>9.77</v>
      </c>
      <c r="Q100" s="31">
        <f t="shared" si="20"/>
        <v>15.736798245613937</v>
      </c>
      <c r="R100" s="31">
        <f t="shared" si="21"/>
        <v>15.157894736842104</v>
      </c>
      <c r="T100" s="31">
        <f t="shared" si="22"/>
        <v>17.682266484196173</v>
      </c>
      <c r="AG100">
        <v>134</v>
      </c>
      <c r="AH100" s="74">
        <f t="shared" si="23"/>
        <v>6</v>
      </c>
      <c r="AI100" s="74">
        <f t="shared" si="24"/>
        <v>14</v>
      </c>
      <c r="AJ100" s="31">
        <f t="shared" si="24"/>
        <v>9.77</v>
      </c>
      <c r="AL100" s="35">
        <f t="shared" si="25"/>
        <v>8.8494262379809996</v>
      </c>
      <c r="AM100" s="35">
        <f t="shared" si="26"/>
        <v>-0.92057376201899999</v>
      </c>
      <c r="AN100" s="35">
        <f t="shared" si="27"/>
        <v>0.84745605131781443</v>
      </c>
      <c r="AP100" s="31">
        <f t="shared" si="28"/>
        <v>0.12226282677391925</v>
      </c>
    </row>
    <row r="101" spans="13:42" x14ac:dyDescent="0.25">
      <c r="M101" s="148">
        <v>6</v>
      </c>
      <c r="N101" s="179">
        <f t="shared" si="18"/>
        <v>15</v>
      </c>
      <c r="O101" s="31">
        <f t="shared" si="29"/>
        <v>8.8000000000000007</v>
      </c>
      <c r="Q101" s="31">
        <f t="shared" si="20"/>
        <v>14.766798245613938</v>
      </c>
      <c r="R101" s="31">
        <f t="shared" si="21"/>
        <v>16.157894736842103</v>
      </c>
      <c r="T101" s="31">
        <f t="shared" si="22"/>
        <v>16.840613347158197</v>
      </c>
      <c r="AG101">
        <v>135</v>
      </c>
      <c r="AH101" s="74">
        <f t="shared" si="23"/>
        <v>6</v>
      </c>
      <c r="AI101" s="74">
        <f t="shared" si="24"/>
        <v>15</v>
      </c>
      <c r="AJ101" s="31">
        <f t="shared" si="24"/>
        <v>8.8000000000000007</v>
      </c>
      <c r="AL101" s="35">
        <f t="shared" si="25"/>
        <v>8.7210793750189772</v>
      </c>
      <c r="AM101" s="35">
        <f t="shared" si="26"/>
        <v>-7.8920624981023479E-2</v>
      </c>
      <c r="AN101" s="35">
        <f t="shared" si="27"/>
        <v>6.2284650473953471E-3</v>
      </c>
      <c r="AP101" s="31">
        <f t="shared" si="28"/>
        <v>1.7415051996552824</v>
      </c>
    </row>
    <row r="102" spans="13:42" x14ac:dyDescent="0.25">
      <c r="M102" s="148">
        <v>6</v>
      </c>
      <c r="N102" s="179">
        <f t="shared" si="18"/>
        <v>16</v>
      </c>
      <c r="O102" s="31">
        <f t="shared" si="29"/>
        <v>9.32</v>
      </c>
      <c r="Q102" s="31">
        <f t="shared" si="20"/>
        <v>15.286798245613937</v>
      </c>
      <c r="R102" s="31">
        <f t="shared" si="21"/>
        <v>17.157894736842103</v>
      </c>
      <c r="T102" s="31">
        <f t="shared" si="22"/>
        <v>17.488960210120219</v>
      </c>
      <c r="AG102">
        <v>136</v>
      </c>
      <c r="AH102" s="74">
        <f t="shared" si="23"/>
        <v>6</v>
      </c>
      <c r="AI102" s="74">
        <f t="shared" si="24"/>
        <v>16</v>
      </c>
      <c r="AJ102" s="31">
        <f t="shared" si="24"/>
        <v>9.32</v>
      </c>
      <c r="AL102" s="35">
        <f t="shared" si="25"/>
        <v>8.5927325120569549</v>
      </c>
      <c r="AM102" s="35">
        <f t="shared" si="26"/>
        <v>-0.72726748794304541</v>
      </c>
      <c r="AN102" s="35">
        <f t="shared" si="27"/>
        <v>0.52891799901898773</v>
      </c>
      <c r="AP102" s="31">
        <f t="shared" si="28"/>
        <v>0.63945774202816019</v>
      </c>
    </row>
    <row r="103" spans="13:42" x14ac:dyDescent="0.25">
      <c r="M103" s="148">
        <v>6</v>
      </c>
      <c r="N103" s="179">
        <f t="shared" si="18"/>
        <v>17</v>
      </c>
      <c r="O103" s="31">
        <f t="shared" si="29"/>
        <v>9.61</v>
      </c>
      <c r="Q103" s="31">
        <f t="shared" si="20"/>
        <v>15.576798245613936</v>
      </c>
      <c r="R103" s="31">
        <f t="shared" si="21"/>
        <v>18.157894736842103</v>
      </c>
      <c r="T103" s="31">
        <f t="shared" si="22"/>
        <v>17.90730707308224</v>
      </c>
      <c r="AG103">
        <v>137</v>
      </c>
      <c r="AH103" s="74">
        <f t="shared" si="23"/>
        <v>6</v>
      </c>
      <c r="AI103" s="74">
        <f t="shared" si="24"/>
        <v>17</v>
      </c>
      <c r="AJ103" s="31">
        <f t="shared" si="24"/>
        <v>9.61</v>
      </c>
      <c r="AL103" s="35">
        <f t="shared" si="25"/>
        <v>8.4643856490949325</v>
      </c>
      <c r="AM103" s="35">
        <f t="shared" si="26"/>
        <v>-1.1456143509050669</v>
      </c>
      <c r="AN103" s="35">
        <f t="shared" si="27"/>
        <v>1.3124322409996378</v>
      </c>
      <c r="AP103" s="31">
        <f t="shared" si="28"/>
        <v>0.25975435219764992</v>
      </c>
    </row>
    <row r="104" spans="13:42" x14ac:dyDescent="0.25">
      <c r="M104" s="148">
        <v>6</v>
      </c>
      <c r="N104" s="179">
        <f t="shared" si="18"/>
        <v>18</v>
      </c>
      <c r="O104" s="31">
        <f t="shared" si="29"/>
        <v>8.7100000000000009</v>
      </c>
      <c r="Q104" s="31">
        <f t="shared" si="20"/>
        <v>14.676798245613938</v>
      </c>
      <c r="R104" s="31">
        <f t="shared" si="21"/>
        <v>19.157894736842103</v>
      </c>
      <c r="T104" s="31">
        <f t="shared" si="22"/>
        <v>17.135653936044264</v>
      </c>
      <c r="AG104">
        <v>138</v>
      </c>
      <c r="AH104" s="74">
        <f t="shared" si="23"/>
        <v>6</v>
      </c>
      <c r="AI104" s="74">
        <f t="shared" si="24"/>
        <v>18</v>
      </c>
      <c r="AJ104" s="31">
        <f t="shared" si="24"/>
        <v>8.7100000000000009</v>
      </c>
      <c r="AL104" s="35">
        <f t="shared" si="25"/>
        <v>8.3360387861329102</v>
      </c>
      <c r="AM104" s="35">
        <f t="shared" si="26"/>
        <v>-0.37396121386709069</v>
      </c>
      <c r="AN104" s="35">
        <f t="shared" si="27"/>
        <v>0.13984698947694793</v>
      </c>
      <c r="AP104" s="31">
        <f t="shared" si="28"/>
        <v>1.9871441827061302</v>
      </c>
    </row>
    <row r="105" spans="13:42" x14ac:dyDescent="0.25">
      <c r="M105" s="148">
        <v>6</v>
      </c>
      <c r="N105" s="179">
        <f t="shared" si="18"/>
        <v>19</v>
      </c>
      <c r="O105" s="31">
        <f t="shared" si="29"/>
        <v>9.43</v>
      </c>
      <c r="Q105" s="31">
        <f t="shared" si="20"/>
        <v>15.396798245613937</v>
      </c>
      <c r="R105" s="31">
        <f t="shared" si="21"/>
        <v>20.157894736842103</v>
      </c>
      <c r="T105" s="31">
        <f t="shared" si="22"/>
        <v>17.984000799006285</v>
      </c>
      <c r="AG105">
        <v>139</v>
      </c>
      <c r="AH105" s="74">
        <f t="shared" si="23"/>
        <v>6</v>
      </c>
      <c r="AI105" s="74">
        <f t="shared" si="24"/>
        <v>19</v>
      </c>
      <c r="AJ105" s="31">
        <f t="shared" si="24"/>
        <v>9.43</v>
      </c>
      <c r="AL105" s="35">
        <f t="shared" si="25"/>
        <v>8.2076919231708878</v>
      </c>
      <c r="AM105" s="35">
        <f t="shared" si="26"/>
        <v>-1.2223080768291119</v>
      </c>
      <c r="AN105" s="35">
        <f t="shared" si="27"/>
        <v>1.4940370346816823</v>
      </c>
      <c r="AP105" s="31">
        <f t="shared" si="28"/>
        <v>0.47563231829934638</v>
      </c>
    </row>
    <row r="106" spans="13:42" x14ac:dyDescent="0.25">
      <c r="M106" s="148">
        <v>6</v>
      </c>
      <c r="N106" s="179">
        <f t="shared" si="18"/>
        <v>20</v>
      </c>
      <c r="O106" s="31">
        <f t="shared" si="29"/>
        <v>8.85</v>
      </c>
      <c r="Q106" s="31">
        <f t="shared" si="20"/>
        <v>14.816798245613937</v>
      </c>
      <c r="R106" s="31">
        <f t="shared" si="21"/>
        <v>21.157894736842103</v>
      </c>
      <c r="T106" s="31">
        <f t="shared" si="22"/>
        <v>17.532347661968306</v>
      </c>
      <c r="AG106">
        <v>140</v>
      </c>
      <c r="AH106" s="74">
        <f t="shared" si="23"/>
        <v>6</v>
      </c>
      <c r="AI106" s="74">
        <f t="shared" si="24"/>
        <v>20</v>
      </c>
      <c r="AJ106" s="31">
        <f t="shared" si="24"/>
        <v>8.85</v>
      </c>
      <c r="AL106" s="35">
        <f t="shared" si="25"/>
        <v>8.0793450602088654</v>
      </c>
      <c r="AM106" s="35">
        <f t="shared" si="26"/>
        <v>-0.7706549397911342</v>
      </c>
      <c r="AN106" s="35">
        <f t="shared" si="27"/>
        <v>0.59390903622447666</v>
      </c>
      <c r="AP106" s="31">
        <f t="shared" si="28"/>
        <v>1.6120390979603696</v>
      </c>
    </row>
    <row r="107" spans="13:42" x14ac:dyDescent="0.25">
      <c r="M107" s="148">
        <v>6</v>
      </c>
      <c r="N107" s="179">
        <f t="shared" si="18"/>
        <v>21</v>
      </c>
      <c r="O107" s="31">
        <f t="shared" si="29"/>
        <v>8</v>
      </c>
      <c r="Q107" s="31">
        <f t="shared" si="20"/>
        <v>13.966798245613937</v>
      </c>
      <c r="R107" s="31">
        <f t="shared" si="21"/>
        <v>22.157894736842103</v>
      </c>
      <c r="T107" s="31">
        <f t="shared" si="22"/>
        <v>16.81069452493033</v>
      </c>
      <c r="AG107">
        <v>141</v>
      </c>
      <c r="AH107" s="74">
        <f t="shared" si="23"/>
        <v>6</v>
      </c>
      <c r="AI107" s="74">
        <f t="shared" si="24"/>
        <v>21</v>
      </c>
      <c r="AJ107" s="31">
        <f t="shared" si="24"/>
        <v>8</v>
      </c>
      <c r="AL107" s="35">
        <f t="shared" si="25"/>
        <v>7.9509981972468431</v>
      </c>
      <c r="AM107" s="35">
        <f t="shared" si="26"/>
        <v>-4.9001802753156909E-2</v>
      </c>
      <c r="AN107" s="35">
        <f t="shared" si="27"/>
        <v>2.4011766730592959E-3</v>
      </c>
      <c r="AP107" s="31">
        <f t="shared" si="28"/>
        <v>4.4929628267739359</v>
      </c>
    </row>
    <row r="108" spans="13:42" x14ac:dyDescent="0.25">
      <c r="M108" s="148">
        <v>6</v>
      </c>
      <c r="N108" s="179">
        <f t="shared" si="18"/>
        <v>22</v>
      </c>
      <c r="O108" s="31">
        <f t="shared" si="29"/>
        <v>8.57</v>
      </c>
      <c r="Q108" s="31">
        <f t="shared" si="20"/>
        <v>14.536798245613937</v>
      </c>
      <c r="R108" s="31">
        <f t="shared" si="21"/>
        <v>23.157894736842103</v>
      </c>
      <c r="T108" s="31">
        <f t="shared" si="22"/>
        <v>17.509041387892353</v>
      </c>
      <c r="AG108">
        <v>142</v>
      </c>
      <c r="AH108" s="74">
        <f t="shared" si="23"/>
        <v>6</v>
      </c>
      <c r="AI108" s="74">
        <f t="shared" si="24"/>
        <v>22</v>
      </c>
      <c r="AJ108" s="31">
        <f t="shared" si="24"/>
        <v>8.57</v>
      </c>
      <c r="AL108" s="35">
        <f t="shared" si="25"/>
        <v>7.8226513342848198</v>
      </c>
      <c r="AM108" s="35">
        <f t="shared" si="26"/>
        <v>-0.74734866571518044</v>
      </c>
      <c r="AN108" s="35">
        <f t="shared" si="27"/>
        <v>0.55853002814626052</v>
      </c>
      <c r="AP108" s="31">
        <f t="shared" si="28"/>
        <v>2.4014492674518957</v>
      </c>
    </row>
    <row r="109" spans="13:42" x14ac:dyDescent="0.25">
      <c r="M109" s="148">
        <v>6</v>
      </c>
      <c r="N109" s="179">
        <f t="shared" si="18"/>
        <v>23</v>
      </c>
      <c r="O109" s="31">
        <f t="shared" si="29"/>
        <v>8.1300000000000008</v>
      </c>
      <c r="Q109" s="31">
        <f t="shared" si="20"/>
        <v>14.096798245613938</v>
      </c>
      <c r="R109" s="31">
        <f t="shared" si="21"/>
        <v>24.157894736842103</v>
      </c>
      <c r="T109" s="31">
        <f t="shared" si="22"/>
        <v>17.197388250854374</v>
      </c>
      <c r="AG109">
        <v>143</v>
      </c>
      <c r="AH109" s="74">
        <f t="shared" si="23"/>
        <v>6</v>
      </c>
      <c r="AI109" s="74">
        <f t="shared" si="24"/>
        <v>23</v>
      </c>
      <c r="AJ109" s="31">
        <f t="shared" si="24"/>
        <v>8.1300000000000008</v>
      </c>
      <c r="AL109" s="35">
        <f t="shared" si="25"/>
        <v>7.6943044713227975</v>
      </c>
      <c r="AM109" s="35">
        <f t="shared" si="26"/>
        <v>-0.43569552867720329</v>
      </c>
      <c r="AN109" s="35">
        <f t="shared" si="27"/>
        <v>0.18983059370930769</v>
      </c>
      <c r="AP109" s="31">
        <f t="shared" si="28"/>
        <v>3.9587509623671524</v>
      </c>
    </row>
    <row r="110" spans="13:42" x14ac:dyDescent="0.25">
      <c r="M110" s="148">
        <v>6</v>
      </c>
      <c r="N110" s="179">
        <f t="shared" si="18"/>
        <v>24</v>
      </c>
      <c r="O110" s="31">
        <f t="shared" si="29"/>
        <v>7.2</v>
      </c>
      <c r="Q110" s="31">
        <f t="shared" si="20"/>
        <v>13.166798245613936</v>
      </c>
      <c r="R110" s="31">
        <f t="shared" si="21"/>
        <v>25.157894736842103</v>
      </c>
      <c r="T110" s="31">
        <f t="shared" si="22"/>
        <v>16.395735113816396</v>
      </c>
      <c r="AG110">
        <v>144</v>
      </c>
      <c r="AH110" s="74">
        <f t="shared" si="23"/>
        <v>6</v>
      </c>
      <c r="AI110" s="74">
        <f t="shared" si="24"/>
        <v>24</v>
      </c>
      <c r="AJ110" s="31">
        <f t="shared" si="24"/>
        <v>7.2</v>
      </c>
      <c r="AL110" s="35">
        <f t="shared" si="25"/>
        <v>7.5659576083607751</v>
      </c>
      <c r="AM110" s="35">
        <f t="shared" si="26"/>
        <v>0.36595760836077496</v>
      </c>
      <c r="AN110" s="35">
        <f t="shared" si="27"/>
        <v>0.13392497111713833</v>
      </c>
      <c r="AP110" s="31">
        <f t="shared" si="28"/>
        <v>8.5244204538925867</v>
      </c>
    </row>
    <row r="111" spans="13:42" x14ac:dyDescent="0.25">
      <c r="M111" s="148">
        <v>7</v>
      </c>
      <c r="N111" s="179">
        <f t="shared" si="18"/>
        <v>1</v>
      </c>
      <c r="O111" s="31">
        <f t="shared" ref="O111:O132" si="30">I15</f>
        <v>9.4600000000000009</v>
      </c>
      <c r="Q111" s="31">
        <f t="shared" ref="Q111:Q132" si="31">O111-M111*$Q$12</f>
        <v>16.421264619882926</v>
      </c>
      <c r="R111" s="31">
        <f t="shared" ref="R111:R132" si="32">N111-M111*$R$12</f>
        <v>2.3508771929824555</v>
      </c>
      <c r="T111" s="31">
        <f t="shared" ref="T111:T132" si="33">Q111-R111*$T$12</f>
        <v>16.722992332811188</v>
      </c>
      <c r="AG111">
        <v>145</v>
      </c>
      <c r="AH111" s="74">
        <f t="shared" si="23"/>
        <v>7</v>
      </c>
      <c r="AI111" s="74">
        <f t="shared" si="24"/>
        <v>1</v>
      </c>
      <c r="AJ111" s="31">
        <f t="shared" si="24"/>
        <v>9.4600000000000009</v>
      </c>
      <c r="AL111" s="35">
        <f t="shared" si="25"/>
        <v>9.4987003893659825</v>
      </c>
      <c r="AM111" s="35">
        <f t="shared" si="26"/>
        <v>3.8700389365981636E-2</v>
      </c>
      <c r="AN111" s="35">
        <f t="shared" si="27"/>
        <v>1.4977201370785845E-3</v>
      </c>
      <c r="AP111" s="31">
        <f t="shared" si="28"/>
        <v>0.43515265728239544</v>
      </c>
    </row>
    <row r="112" spans="13:42" x14ac:dyDescent="0.25">
      <c r="M112" s="148">
        <v>7</v>
      </c>
      <c r="N112" s="179">
        <f t="shared" si="18"/>
        <v>2</v>
      </c>
      <c r="O112" s="31">
        <f t="shared" si="30"/>
        <v>8.7200000000000006</v>
      </c>
      <c r="Q112" s="31">
        <f t="shared" si="31"/>
        <v>15.681264619882928</v>
      </c>
      <c r="R112" s="31">
        <f t="shared" si="32"/>
        <v>3.3508771929824555</v>
      </c>
      <c r="T112" s="31">
        <f t="shared" si="33"/>
        <v>16.111339195773212</v>
      </c>
      <c r="AG112">
        <v>146</v>
      </c>
      <c r="AH112" s="74">
        <f t="shared" si="23"/>
        <v>7</v>
      </c>
      <c r="AI112" s="74">
        <f t="shared" si="24"/>
        <v>2</v>
      </c>
      <c r="AJ112" s="31">
        <f t="shared" si="24"/>
        <v>8.7200000000000006</v>
      </c>
      <c r="AL112" s="35">
        <f t="shared" si="25"/>
        <v>9.3703535264039601</v>
      </c>
      <c r="AM112" s="35">
        <f t="shared" si="26"/>
        <v>0.65035352640395949</v>
      </c>
      <c r="AN112" s="35">
        <f t="shared" si="27"/>
        <v>0.42295970930606563</v>
      </c>
      <c r="AP112" s="31">
        <f t="shared" si="28"/>
        <v>1.9590509623671477</v>
      </c>
    </row>
    <row r="113" spans="13:42" x14ac:dyDescent="0.25">
      <c r="M113" s="148">
        <v>7</v>
      </c>
      <c r="N113" s="179">
        <f t="shared" si="18"/>
        <v>3</v>
      </c>
      <c r="O113" s="31">
        <f t="shared" si="30"/>
        <v>7.99</v>
      </c>
      <c r="Q113" s="31">
        <f t="shared" si="31"/>
        <v>14.951264619882927</v>
      </c>
      <c r="R113" s="31">
        <f t="shared" si="32"/>
        <v>4.3508771929824555</v>
      </c>
      <c r="T113" s="31">
        <f t="shared" si="33"/>
        <v>15.509686058735236</v>
      </c>
      <c r="AG113">
        <v>147</v>
      </c>
      <c r="AH113" s="74">
        <f t="shared" si="23"/>
        <v>7</v>
      </c>
      <c r="AI113" s="74">
        <f t="shared" si="24"/>
        <v>3</v>
      </c>
      <c r="AJ113" s="31">
        <f t="shared" si="24"/>
        <v>7.99</v>
      </c>
      <c r="AL113" s="35">
        <f t="shared" si="25"/>
        <v>9.2420066634419378</v>
      </c>
      <c r="AM113" s="35">
        <f t="shared" si="26"/>
        <v>1.2520066634419376</v>
      </c>
      <c r="AN113" s="35">
        <f t="shared" si="27"/>
        <v>1.567520685303013</v>
      </c>
      <c r="AP113" s="31">
        <f t="shared" si="28"/>
        <v>4.5354560471129188</v>
      </c>
    </row>
    <row r="114" spans="13:42" x14ac:dyDescent="0.25">
      <c r="M114" s="148">
        <v>7</v>
      </c>
      <c r="N114" s="179">
        <f t="shared" si="18"/>
        <v>4</v>
      </c>
      <c r="O114" s="31">
        <f t="shared" si="30"/>
        <v>7.88</v>
      </c>
      <c r="Q114" s="31">
        <f t="shared" si="31"/>
        <v>14.841264619882928</v>
      </c>
      <c r="R114" s="31">
        <f t="shared" si="32"/>
        <v>5.3508771929824555</v>
      </c>
      <c r="T114" s="31">
        <f t="shared" si="33"/>
        <v>15.528032921697259</v>
      </c>
      <c r="AG114">
        <v>148</v>
      </c>
      <c r="AH114" s="74">
        <f t="shared" si="23"/>
        <v>7</v>
      </c>
      <c r="AI114" s="74">
        <f t="shared" si="24"/>
        <v>4</v>
      </c>
      <c r="AJ114" s="31">
        <f t="shared" si="24"/>
        <v>7.88</v>
      </c>
      <c r="AL114" s="35">
        <f t="shared" si="25"/>
        <v>9.1136598004799154</v>
      </c>
      <c r="AM114" s="35">
        <f t="shared" si="26"/>
        <v>1.2336598004799155</v>
      </c>
      <c r="AN114" s="35">
        <f t="shared" si="27"/>
        <v>1.5219165033201449</v>
      </c>
      <c r="AP114" s="31">
        <f t="shared" si="28"/>
        <v>5.0160814708417343</v>
      </c>
    </row>
    <row r="115" spans="13:42" x14ac:dyDescent="0.25">
      <c r="M115" s="148">
        <v>7</v>
      </c>
      <c r="N115" s="179">
        <f t="shared" si="18"/>
        <v>5</v>
      </c>
      <c r="O115" s="31">
        <f t="shared" si="30"/>
        <v>7.8</v>
      </c>
      <c r="Q115" s="31">
        <f t="shared" si="31"/>
        <v>14.761264619882926</v>
      </c>
      <c r="R115" s="31">
        <f t="shared" si="32"/>
        <v>6.3508771929824555</v>
      </c>
      <c r="T115" s="31">
        <f t="shared" si="33"/>
        <v>15.576379784659279</v>
      </c>
      <c r="AG115">
        <v>149</v>
      </c>
      <c r="AH115" s="74">
        <f t="shared" si="23"/>
        <v>7</v>
      </c>
      <c r="AI115" s="74">
        <f t="shared" si="24"/>
        <v>5</v>
      </c>
      <c r="AJ115" s="31">
        <f t="shared" si="24"/>
        <v>7.8</v>
      </c>
      <c r="AL115" s="35">
        <f t="shared" si="25"/>
        <v>8.9853129375178931</v>
      </c>
      <c r="AM115" s="35">
        <f t="shared" si="26"/>
        <v>1.1853129375178932</v>
      </c>
      <c r="AN115" s="35">
        <f t="shared" si="27"/>
        <v>1.404966759847297</v>
      </c>
      <c r="AP115" s="31">
        <f t="shared" si="28"/>
        <v>5.3808272335536005</v>
      </c>
    </row>
    <row r="116" spans="13:42" x14ac:dyDescent="0.25">
      <c r="M116" s="148">
        <v>7</v>
      </c>
      <c r="N116" s="179">
        <f t="shared" si="18"/>
        <v>6</v>
      </c>
      <c r="O116" s="31">
        <f t="shared" si="30"/>
        <v>8.15</v>
      </c>
      <c r="Q116" s="31">
        <f t="shared" si="31"/>
        <v>15.111264619882927</v>
      </c>
      <c r="R116" s="31">
        <f t="shared" si="32"/>
        <v>7.3508771929824555</v>
      </c>
      <c r="T116" s="31">
        <f t="shared" si="33"/>
        <v>16.054726647621305</v>
      </c>
      <c r="AG116">
        <v>150</v>
      </c>
      <c r="AH116" s="74">
        <f t="shared" si="23"/>
        <v>7</v>
      </c>
      <c r="AI116" s="74">
        <f t="shared" si="24"/>
        <v>6</v>
      </c>
      <c r="AJ116" s="31">
        <f t="shared" si="24"/>
        <v>8.15</v>
      </c>
      <c r="AL116" s="35">
        <f t="shared" si="25"/>
        <v>8.8569660745558707</v>
      </c>
      <c r="AM116" s="35">
        <f t="shared" si="26"/>
        <v>0.70696607455587035</v>
      </c>
      <c r="AN116" s="35">
        <f t="shared" si="27"/>
        <v>0.49980103057293646</v>
      </c>
      <c r="AP116" s="31">
        <f t="shared" si="28"/>
        <v>3.8795645216891876</v>
      </c>
    </row>
    <row r="117" spans="13:42" x14ac:dyDescent="0.25">
      <c r="M117" s="148">
        <v>7</v>
      </c>
      <c r="N117" s="179">
        <f t="shared" si="18"/>
        <v>7</v>
      </c>
      <c r="O117" s="31">
        <f t="shared" si="30"/>
        <v>8.3800000000000008</v>
      </c>
      <c r="Q117" s="31">
        <f t="shared" si="31"/>
        <v>15.341264619882928</v>
      </c>
      <c r="R117" s="31">
        <f t="shared" si="32"/>
        <v>8.3508771929824555</v>
      </c>
      <c r="T117" s="31">
        <f t="shared" si="33"/>
        <v>16.413073510583327</v>
      </c>
      <c r="AG117">
        <v>151</v>
      </c>
      <c r="AH117" s="74">
        <f t="shared" si="23"/>
        <v>7</v>
      </c>
      <c r="AI117" s="74">
        <f t="shared" si="24"/>
        <v>7</v>
      </c>
      <c r="AJ117" s="31">
        <f t="shared" si="24"/>
        <v>8.3800000000000008</v>
      </c>
      <c r="AL117" s="35">
        <f t="shared" si="25"/>
        <v>8.7286192115938483</v>
      </c>
      <c r="AM117" s="35">
        <f t="shared" si="26"/>
        <v>0.34861921159384757</v>
      </c>
      <c r="AN117" s="35">
        <f t="shared" si="27"/>
        <v>0.12153535469231586</v>
      </c>
      <c r="AP117" s="31">
        <f t="shared" si="28"/>
        <v>3.0264204538925741</v>
      </c>
    </row>
    <row r="118" spans="13:42" x14ac:dyDescent="0.25">
      <c r="M118" s="148">
        <v>7</v>
      </c>
      <c r="N118" s="179">
        <f t="shared" si="18"/>
        <v>8</v>
      </c>
      <c r="O118" s="31">
        <f t="shared" si="30"/>
        <v>7.35</v>
      </c>
      <c r="Q118" s="31">
        <f t="shared" si="31"/>
        <v>14.311264619882927</v>
      </c>
      <c r="R118" s="31">
        <f t="shared" si="32"/>
        <v>9.3508771929824555</v>
      </c>
      <c r="T118" s="31">
        <f t="shared" si="33"/>
        <v>15.511420373545347</v>
      </c>
      <c r="AG118">
        <v>152</v>
      </c>
      <c r="AH118" s="74">
        <f t="shared" si="23"/>
        <v>7</v>
      </c>
      <c r="AI118" s="74">
        <f t="shared" si="24"/>
        <v>8</v>
      </c>
      <c r="AJ118" s="31">
        <f t="shared" si="24"/>
        <v>7.35</v>
      </c>
      <c r="AL118" s="35">
        <f t="shared" si="25"/>
        <v>8.600272348631826</v>
      </c>
      <c r="AM118" s="35">
        <f t="shared" si="26"/>
        <v>1.2502723486318263</v>
      </c>
      <c r="AN118" s="35">
        <f t="shared" si="27"/>
        <v>1.5631809457533432</v>
      </c>
      <c r="AP118" s="31">
        <f t="shared" si="28"/>
        <v>7.6710221488078432</v>
      </c>
    </row>
    <row r="119" spans="13:42" x14ac:dyDescent="0.25">
      <c r="M119" s="148">
        <v>7</v>
      </c>
      <c r="N119" s="179">
        <f t="shared" si="18"/>
        <v>9</v>
      </c>
      <c r="O119" s="31">
        <f t="shared" si="30"/>
        <v>8.1999999999999993</v>
      </c>
      <c r="Q119" s="31">
        <f t="shared" si="31"/>
        <v>15.161264619882926</v>
      </c>
      <c r="R119" s="31">
        <f t="shared" si="32"/>
        <v>10.350877192982455</v>
      </c>
      <c r="T119" s="31">
        <f t="shared" si="33"/>
        <v>16.489767236507369</v>
      </c>
      <c r="AG119">
        <v>153</v>
      </c>
      <c r="AH119" s="74">
        <f t="shared" si="23"/>
        <v>7</v>
      </c>
      <c r="AI119" s="74">
        <f t="shared" si="24"/>
        <v>9</v>
      </c>
      <c r="AJ119" s="31">
        <f t="shared" si="24"/>
        <v>8.1999999999999993</v>
      </c>
      <c r="AL119" s="35">
        <f t="shared" si="25"/>
        <v>8.4719254856698036</v>
      </c>
      <c r="AM119" s="35">
        <f t="shared" si="26"/>
        <v>0.27192548566980435</v>
      </c>
      <c r="AN119" s="35">
        <f t="shared" si="27"/>
        <v>7.3943469756758973E-2</v>
      </c>
      <c r="AP119" s="31">
        <f t="shared" si="28"/>
        <v>3.6850984199942762</v>
      </c>
    </row>
    <row r="120" spans="13:42" x14ac:dyDescent="0.25">
      <c r="M120" s="148">
        <v>7</v>
      </c>
      <c r="N120" s="179">
        <f t="shared" ref="N120:N132" si="34">N96</f>
        <v>10</v>
      </c>
      <c r="O120" s="31">
        <f t="shared" si="30"/>
        <v>8.35</v>
      </c>
      <c r="Q120" s="31">
        <f t="shared" si="31"/>
        <v>15.311264619882927</v>
      </c>
      <c r="R120" s="31">
        <f t="shared" si="32"/>
        <v>11.350877192982455</v>
      </c>
      <c r="T120" s="31">
        <f t="shared" si="33"/>
        <v>16.768114099469393</v>
      </c>
      <c r="AG120">
        <v>154</v>
      </c>
      <c r="AH120" s="74">
        <f t="shared" si="23"/>
        <v>7</v>
      </c>
      <c r="AI120" s="74">
        <f t="shared" si="24"/>
        <v>10</v>
      </c>
      <c r="AJ120" s="31">
        <f t="shared" si="24"/>
        <v>8.35</v>
      </c>
      <c r="AL120" s="35">
        <f t="shared" si="25"/>
        <v>8.3435786227077795</v>
      </c>
      <c r="AM120" s="35">
        <f t="shared" si="26"/>
        <v>-6.4213772922201429E-3</v>
      </c>
      <c r="AN120" s="35">
        <f t="shared" si="27"/>
        <v>4.1234086329040493E-5</v>
      </c>
      <c r="AP120" s="31">
        <f t="shared" si="28"/>
        <v>3.1317001149095272</v>
      </c>
    </row>
    <row r="121" spans="13:42" x14ac:dyDescent="0.25">
      <c r="M121" s="148">
        <v>7</v>
      </c>
      <c r="N121" s="179">
        <f t="shared" si="34"/>
        <v>11</v>
      </c>
      <c r="O121" s="31">
        <f t="shared" si="30"/>
        <v>8.17</v>
      </c>
      <c r="Q121" s="31">
        <f t="shared" si="31"/>
        <v>15.131264619882927</v>
      </c>
      <c r="R121" s="31">
        <f t="shared" si="32"/>
        <v>12.350877192982455</v>
      </c>
      <c r="T121" s="31">
        <f t="shared" si="33"/>
        <v>16.716460962431416</v>
      </c>
      <c r="AG121">
        <v>155</v>
      </c>
      <c r="AH121" s="74">
        <f t="shared" si="23"/>
        <v>7</v>
      </c>
      <c r="AI121" s="74">
        <f t="shared" si="24"/>
        <v>11</v>
      </c>
      <c r="AJ121" s="31">
        <f t="shared" si="24"/>
        <v>8.17</v>
      </c>
      <c r="AL121" s="35">
        <f t="shared" si="25"/>
        <v>8.2152317597457571</v>
      </c>
      <c r="AM121" s="35">
        <f t="shared" si="26"/>
        <v>4.5231759745757216E-2</v>
      </c>
      <c r="AN121" s="35">
        <f t="shared" si="27"/>
        <v>2.0459120896979027E-3</v>
      </c>
      <c r="AP121" s="31">
        <f t="shared" si="28"/>
        <v>3.8011780810112228</v>
      </c>
    </row>
    <row r="122" spans="13:42" x14ac:dyDescent="0.25">
      <c r="M122" s="148">
        <v>7</v>
      </c>
      <c r="N122" s="179">
        <f t="shared" si="34"/>
        <v>12</v>
      </c>
      <c r="O122" s="31">
        <f t="shared" si="30"/>
        <v>7.8</v>
      </c>
      <c r="Q122" s="31">
        <f t="shared" si="31"/>
        <v>14.761264619882926</v>
      </c>
      <c r="R122" s="31">
        <f t="shared" si="32"/>
        <v>13.350877192982455</v>
      </c>
      <c r="T122" s="31">
        <f t="shared" si="33"/>
        <v>16.474807825393437</v>
      </c>
      <c r="AG122">
        <v>156</v>
      </c>
      <c r="AH122" s="74">
        <f t="shared" si="23"/>
        <v>7</v>
      </c>
      <c r="AI122" s="74">
        <f t="shared" si="24"/>
        <v>12</v>
      </c>
      <c r="AJ122" s="31">
        <f t="shared" si="24"/>
        <v>7.8</v>
      </c>
      <c r="AL122" s="35">
        <f t="shared" si="25"/>
        <v>8.0868848967837348</v>
      </c>
      <c r="AM122" s="35">
        <f t="shared" si="26"/>
        <v>0.28688489678373497</v>
      </c>
      <c r="AN122" s="35">
        <f t="shared" si="27"/>
        <v>8.2302944002614259E-2</v>
      </c>
      <c r="AP122" s="31">
        <f t="shared" si="28"/>
        <v>5.3808272335536005</v>
      </c>
    </row>
    <row r="123" spans="13:42" x14ac:dyDescent="0.25">
      <c r="M123" s="148">
        <v>7</v>
      </c>
      <c r="N123" s="179">
        <f t="shared" si="34"/>
        <v>13</v>
      </c>
      <c r="O123" s="31">
        <f t="shared" si="30"/>
        <v>7.48</v>
      </c>
      <c r="Q123" s="31">
        <f t="shared" si="31"/>
        <v>14.441264619882928</v>
      </c>
      <c r="R123" s="31">
        <f t="shared" si="32"/>
        <v>14.350877192982455</v>
      </c>
      <c r="T123" s="31">
        <f t="shared" si="33"/>
        <v>16.283154688355459</v>
      </c>
      <c r="AG123">
        <v>157</v>
      </c>
      <c r="AH123" s="74">
        <f t="shared" si="23"/>
        <v>7</v>
      </c>
      <c r="AI123" s="74">
        <f t="shared" si="24"/>
        <v>13</v>
      </c>
      <c r="AJ123" s="31">
        <f t="shared" si="24"/>
        <v>7.48</v>
      </c>
      <c r="AL123" s="35">
        <f t="shared" si="25"/>
        <v>7.9585380338217124</v>
      </c>
      <c r="AM123" s="35">
        <f t="shared" si="26"/>
        <v>0.47853803382171201</v>
      </c>
      <c r="AN123" s="35">
        <f t="shared" si="27"/>
        <v>0.22899864981394999</v>
      </c>
      <c r="AP123" s="31">
        <f t="shared" si="28"/>
        <v>6.9678102844010574</v>
      </c>
    </row>
    <row r="124" spans="13:42" x14ac:dyDescent="0.25">
      <c r="M124" s="148">
        <v>7</v>
      </c>
      <c r="N124" s="179">
        <f t="shared" si="34"/>
        <v>14</v>
      </c>
      <c r="O124" s="31">
        <f t="shared" si="30"/>
        <v>8.1</v>
      </c>
      <c r="Q124" s="31">
        <f t="shared" si="31"/>
        <v>15.061264619882927</v>
      </c>
      <c r="R124" s="31">
        <f t="shared" si="32"/>
        <v>15.350877192982455</v>
      </c>
      <c r="T124" s="31">
        <f t="shared" si="33"/>
        <v>17.031501551317483</v>
      </c>
      <c r="AG124">
        <v>158</v>
      </c>
      <c r="AH124" s="74">
        <f t="shared" si="23"/>
        <v>7</v>
      </c>
      <c r="AI124" s="74">
        <f t="shared" si="24"/>
        <v>14</v>
      </c>
      <c r="AJ124" s="31">
        <f t="shared" si="24"/>
        <v>8.1</v>
      </c>
      <c r="AL124" s="35">
        <f t="shared" si="25"/>
        <v>7.8301911708596901</v>
      </c>
      <c r="AM124" s="35">
        <f t="shared" si="26"/>
        <v>-0.26980882914030957</v>
      </c>
      <c r="AN124" s="35">
        <f t="shared" si="27"/>
        <v>7.2796804282064767E-2</v>
      </c>
      <c r="AP124" s="31">
        <f t="shared" si="28"/>
        <v>4.0790306233841065</v>
      </c>
    </row>
    <row r="125" spans="13:42" x14ac:dyDescent="0.25">
      <c r="M125" s="148">
        <v>7</v>
      </c>
      <c r="N125" s="179">
        <f t="shared" si="34"/>
        <v>15</v>
      </c>
      <c r="O125" s="31">
        <f t="shared" si="30"/>
        <v>8.2200000000000006</v>
      </c>
      <c r="Q125" s="31">
        <f t="shared" si="31"/>
        <v>15.181264619882928</v>
      </c>
      <c r="R125" s="31">
        <f t="shared" si="32"/>
        <v>16.350877192982455</v>
      </c>
      <c r="T125" s="31">
        <f t="shared" si="33"/>
        <v>17.279848414279506</v>
      </c>
      <c r="AG125">
        <v>159</v>
      </c>
      <c r="AH125" s="74">
        <f t="shared" si="23"/>
        <v>7</v>
      </c>
      <c r="AI125" s="74">
        <f t="shared" si="24"/>
        <v>15</v>
      </c>
      <c r="AJ125" s="31">
        <f t="shared" si="24"/>
        <v>8.2200000000000006</v>
      </c>
      <c r="AL125" s="35">
        <f t="shared" si="25"/>
        <v>7.7018443078976677</v>
      </c>
      <c r="AM125" s="35">
        <f t="shared" si="26"/>
        <v>-0.51815569210233292</v>
      </c>
      <c r="AN125" s="35">
        <f t="shared" si="27"/>
        <v>0.26848532125804764</v>
      </c>
      <c r="AP125" s="31">
        <f t="shared" si="28"/>
        <v>3.6087119793163045</v>
      </c>
    </row>
    <row r="126" spans="13:42" x14ac:dyDescent="0.25">
      <c r="M126" s="148">
        <v>7</v>
      </c>
      <c r="N126" s="179">
        <f t="shared" si="34"/>
        <v>16</v>
      </c>
      <c r="O126" s="31">
        <f t="shared" si="30"/>
        <v>8.14</v>
      </c>
      <c r="Q126" s="31">
        <f t="shared" si="31"/>
        <v>15.101264619882928</v>
      </c>
      <c r="R126" s="31">
        <f t="shared" si="32"/>
        <v>17.350877192982455</v>
      </c>
      <c r="T126" s="31">
        <f t="shared" si="33"/>
        <v>17.328195277241527</v>
      </c>
      <c r="AG126">
        <v>160</v>
      </c>
      <c r="AH126" s="74">
        <f t="shared" si="23"/>
        <v>7</v>
      </c>
      <c r="AI126" s="74">
        <f t="shared" si="24"/>
        <v>16</v>
      </c>
      <c r="AJ126" s="31">
        <f t="shared" si="24"/>
        <v>8.14</v>
      </c>
      <c r="AL126" s="35">
        <f t="shared" si="25"/>
        <v>7.5734974449356454</v>
      </c>
      <c r="AM126" s="35">
        <f t="shared" si="26"/>
        <v>-0.56650255506435521</v>
      </c>
      <c r="AN126" s="35">
        <f t="shared" si="27"/>
        <v>0.32092514489444279</v>
      </c>
      <c r="AP126" s="31">
        <f t="shared" si="28"/>
        <v>3.91905774202817</v>
      </c>
    </row>
    <row r="127" spans="13:42" x14ac:dyDescent="0.25">
      <c r="M127" s="148">
        <v>7</v>
      </c>
      <c r="N127" s="179">
        <f t="shared" si="34"/>
        <v>17</v>
      </c>
      <c r="O127" s="31">
        <f t="shared" si="30"/>
        <v>7.69</v>
      </c>
      <c r="Q127" s="31">
        <f t="shared" si="31"/>
        <v>14.651264619882927</v>
      </c>
      <c r="R127" s="31">
        <f t="shared" si="32"/>
        <v>18.350877192982455</v>
      </c>
      <c r="T127" s="31">
        <f t="shared" si="33"/>
        <v>17.00654214020355</v>
      </c>
      <c r="AG127">
        <v>161</v>
      </c>
      <c r="AH127" s="74">
        <f t="shared" si="23"/>
        <v>7</v>
      </c>
      <c r="AI127" s="74">
        <f t="shared" si="24"/>
        <v>17</v>
      </c>
      <c r="AJ127" s="31">
        <f t="shared" si="24"/>
        <v>7.69</v>
      </c>
      <c r="AL127" s="35">
        <f t="shared" si="25"/>
        <v>7.445150581973623</v>
      </c>
      <c r="AM127" s="35">
        <f t="shared" si="26"/>
        <v>-0.24484941802637739</v>
      </c>
      <c r="AN127" s="35">
        <f t="shared" si="27"/>
        <v>5.9951237507855699E-2</v>
      </c>
      <c r="AP127" s="31">
        <f t="shared" si="28"/>
        <v>5.9032526572824118</v>
      </c>
    </row>
    <row r="128" spans="13:42" x14ac:dyDescent="0.25">
      <c r="M128" s="148">
        <v>7</v>
      </c>
      <c r="N128" s="179">
        <f t="shared" si="34"/>
        <v>18</v>
      </c>
      <c r="O128" s="31">
        <f t="shared" si="30"/>
        <v>7.51</v>
      </c>
      <c r="Q128" s="31">
        <f t="shared" si="31"/>
        <v>14.471264619882927</v>
      </c>
      <c r="R128" s="31">
        <f t="shared" si="32"/>
        <v>19.350877192982455</v>
      </c>
      <c r="T128" s="31">
        <f t="shared" si="33"/>
        <v>16.954889003165572</v>
      </c>
      <c r="AG128">
        <v>162</v>
      </c>
      <c r="AH128" s="74">
        <f t="shared" si="23"/>
        <v>7</v>
      </c>
      <c r="AI128" s="74">
        <f t="shared" si="24"/>
        <v>18</v>
      </c>
      <c r="AJ128" s="31">
        <f t="shared" si="24"/>
        <v>7.51</v>
      </c>
      <c r="AL128" s="35">
        <f t="shared" si="25"/>
        <v>7.3168037190116006</v>
      </c>
      <c r="AM128" s="35">
        <f t="shared" si="26"/>
        <v>-0.19319628098839914</v>
      </c>
      <c r="AN128" s="35">
        <f t="shared" si="27"/>
        <v>3.7324802987748477E-2</v>
      </c>
      <c r="AP128" s="31">
        <f t="shared" si="28"/>
        <v>6.8103306233841119</v>
      </c>
    </row>
    <row r="129" spans="13:42" x14ac:dyDescent="0.25">
      <c r="M129" s="148">
        <v>7</v>
      </c>
      <c r="N129" s="179">
        <f t="shared" si="34"/>
        <v>19</v>
      </c>
      <c r="O129" s="31">
        <f t="shared" si="30"/>
        <v>7.44</v>
      </c>
      <c r="Q129" s="31">
        <f t="shared" si="31"/>
        <v>14.401264619882927</v>
      </c>
      <c r="R129" s="31">
        <f t="shared" si="32"/>
        <v>20.350877192982455</v>
      </c>
      <c r="T129" s="31">
        <f t="shared" si="33"/>
        <v>17.013235866127594</v>
      </c>
      <c r="AG129">
        <v>163</v>
      </c>
      <c r="AH129" s="74">
        <f t="shared" si="23"/>
        <v>7</v>
      </c>
      <c r="AI129" s="74">
        <f t="shared" si="24"/>
        <v>19</v>
      </c>
      <c r="AJ129" s="31">
        <f t="shared" si="24"/>
        <v>7.44</v>
      </c>
      <c r="AL129" s="35">
        <f t="shared" si="25"/>
        <v>7.1884568560495783</v>
      </c>
      <c r="AM129" s="35">
        <f t="shared" si="26"/>
        <v>-0.2515431439504221</v>
      </c>
      <c r="AN129" s="35">
        <f t="shared" si="27"/>
        <v>6.3273953268462774E-2</v>
      </c>
      <c r="AP129" s="31">
        <f t="shared" si="28"/>
        <v>7.1805831657569907</v>
      </c>
    </row>
    <row r="130" spans="13:42" x14ac:dyDescent="0.25">
      <c r="M130" s="148">
        <v>7</v>
      </c>
      <c r="N130" s="179">
        <f t="shared" si="34"/>
        <v>20</v>
      </c>
      <c r="O130" s="31">
        <f t="shared" si="30"/>
        <v>7.42</v>
      </c>
      <c r="Q130" s="31">
        <f t="shared" si="31"/>
        <v>14.381264619882927</v>
      </c>
      <c r="R130" s="31">
        <f t="shared" si="32"/>
        <v>21.350877192982455</v>
      </c>
      <c r="T130" s="31">
        <f t="shared" si="33"/>
        <v>17.121582729089617</v>
      </c>
      <c r="AG130">
        <v>164</v>
      </c>
      <c r="AH130" s="74">
        <f t="shared" si="23"/>
        <v>7</v>
      </c>
      <c r="AI130" s="74">
        <f t="shared" si="24"/>
        <v>20</v>
      </c>
      <c r="AJ130" s="31">
        <f t="shared" si="24"/>
        <v>7.42</v>
      </c>
      <c r="AL130" s="35">
        <f t="shared" si="25"/>
        <v>7.0601099930875559</v>
      </c>
      <c r="AM130" s="35">
        <f t="shared" si="26"/>
        <v>-0.35989000691244399</v>
      </c>
      <c r="AN130" s="35">
        <f t="shared" si="27"/>
        <v>0.129520817075439</v>
      </c>
      <c r="AP130" s="31">
        <f t="shared" si="28"/>
        <v>7.288169606434959</v>
      </c>
    </row>
    <row r="131" spans="13:42" x14ac:dyDescent="0.25">
      <c r="M131" s="148">
        <v>7</v>
      </c>
      <c r="N131" s="179">
        <f t="shared" si="34"/>
        <v>21</v>
      </c>
      <c r="O131" s="31">
        <f t="shared" si="30"/>
        <v>7.16</v>
      </c>
      <c r="Q131" s="31">
        <f t="shared" si="31"/>
        <v>14.121264619882927</v>
      </c>
      <c r="R131" s="31">
        <f t="shared" si="32"/>
        <v>22.350877192982455</v>
      </c>
      <c r="T131" s="31">
        <f t="shared" si="33"/>
        <v>16.989929592051638</v>
      </c>
      <c r="AG131">
        <v>165</v>
      </c>
      <c r="AH131" s="74">
        <f t="shared" si="23"/>
        <v>7</v>
      </c>
      <c r="AI131" s="74">
        <f t="shared" si="24"/>
        <v>21</v>
      </c>
      <c r="AJ131" s="31">
        <f t="shared" si="24"/>
        <v>7.16</v>
      </c>
      <c r="AL131" s="35">
        <f t="shared" si="25"/>
        <v>6.9317631301255336</v>
      </c>
      <c r="AM131" s="35">
        <f t="shared" si="26"/>
        <v>-0.22823686987446656</v>
      </c>
      <c r="AN131" s="35">
        <f t="shared" si="27"/>
        <v>5.2092068770094181E-2</v>
      </c>
      <c r="AP131" s="31">
        <f t="shared" si="28"/>
        <v>8.7595933352485194</v>
      </c>
    </row>
    <row r="132" spans="13:42" x14ac:dyDescent="0.25">
      <c r="M132" s="148">
        <v>7</v>
      </c>
      <c r="N132" s="179">
        <f t="shared" si="34"/>
        <v>22</v>
      </c>
      <c r="O132" s="31">
        <f t="shared" si="30"/>
        <v>6.79</v>
      </c>
      <c r="Q132" s="31">
        <f t="shared" si="31"/>
        <v>13.751264619882928</v>
      </c>
      <c r="R132" s="31">
        <f t="shared" si="32"/>
        <v>23.350877192982455</v>
      </c>
      <c r="T132" s="31">
        <f t="shared" si="33"/>
        <v>16.748276455013663</v>
      </c>
      <c r="AG132">
        <v>166</v>
      </c>
      <c r="AH132" s="74">
        <f t="shared" si="23"/>
        <v>7</v>
      </c>
      <c r="AI132" s="74">
        <f t="shared" si="24"/>
        <v>22</v>
      </c>
      <c r="AJ132" s="31">
        <f t="shared" si="24"/>
        <v>6.79</v>
      </c>
      <c r="AL132" s="35">
        <f>$H$9+AH132*$H$7+AI132*$H$8</f>
        <v>6.8034162671635103</v>
      </c>
      <c r="AM132" s="35">
        <f>AL132-AJ132</f>
        <v>1.3416267163510298E-2</v>
      </c>
      <c r="AN132" s="35">
        <f t="shared" si="27"/>
        <v>1.7999622460268465E-4</v>
      </c>
      <c r="AP132" s="31">
        <f t="shared" si="28"/>
        <v>11.086642487790897</v>
      </c>
    </row>
    <row r="133" spans="13:42" x14ac:dyDescent="0.25">
      <c r="M133" s="148"/>
      <c r="O133" s="31"/>
      <c r="AG133">
        <v>167</v>
      </c>
      <c r="AH133" s="74">
        <v>8</v>
      </c>
      <c r="AI133" s="74">
        <v>1</v>
      </c>
      <c r="AJ133" s="31">
        <f>J15</f>
        <v>8.24</v>
      </c>
      <c r="AL133" s="35">
        <f t="shared" ref="AL133:AL143" si="35">$H$9+AH133*$H$7+AI133*$H$8</f>
        <v>8.479465322244673</v>
      </c>
      <c r="AM133" s="35">
        <f t="shared" ref="AM133:AM143" si="36">AL133-AJ133</f>
        <v>0.23946532224467276</v>
      </c>
      <c r="AN133" s="35"/>
      <c r="AP133" s="31"/>
    </row>
    <row r="134" spans="13:42" x14ac:dyDescent="0.25">
      <c r="O134" s="31"/>
      <c r="AG134">
        <v>168</v>
      </c>
      <c r="AH134" s="74">
        <v>8</v>
      </c>
      <c r="AI134" s="74">
        <v>2</v>
      </c>
      <c r="AJ134" s="31">
        <f t="shared" ref="AJ134:AJ143" si="37">J16</f>
        <v>7.41</v>
      </c>
      <c r="AL134" s="35">
        <f t="shared" si="35"/>
        <v>8.3511184592826506</v>
      </c>
      <c r="AM134" s="35">
        <f t="shared" si="36"/>
        <v>0.94111845928265048</v>
      </c>
      <c r="AN134" s="35"/>
    </row>
    <row r="135" spans="13:42" x14ac:dyDescent="0.25">
      <c r="O135" s="31"/>
      <c r="AG135">
        <v>169</v>
      </c>
      <c r="AH135" s="74">
        <v>8</v>
      </c>
      <c r="AI135" s="74">
        <v>3</v>
      </c>
      <c r="AJ135" s="31">
        <f t="shared" si="37"/>
        <v>6.97</v>
      </c>
      <c r="AL135" s="35">
        <f t="shared" si="35"/>
        <v>8.2227715963206283</v>
      </c>
      <c r="AM135" s="35">
        <f t="shared" si="36"/>
        <v>1.2527715963206285</v>
      </c>
      <c r="AN135" s="35"/>
    </row>
    <row r="136" spans="13:42" x14ac:dyDescent="0.25">
      <c r="O136" s="31"/>
      <c r="AG136">
        <v>170</v>
      </c>
      <c r="AH136" s="74">
        <v>8</v>
      </c>
      <c r="AI136" s="74">
        <v>4</v>
      </c>
      <c r="AJ136" s="31">
        <f t="shared" si="37"/>
        <v>7.5</v>
      </c>
      <c r="AL136" s="35">
        <f t="shared" si="35"/>
        <v>8.0944247333586059</v>
      </c>
      <c r="AM136" s="35">
        <f t="shared" si="36"/>
        <v>0.59442473335860591</v>
      </c>
      <c r="AN136" s="35"/>
    </row>
    <row r="137" spans="13:42" x14ac:dyDescent="0.25">
      <c r="O137" s="31"/>
      <c r="AG137">
        <v>171</v>
      </c>
      <c r="AH137" s="74">
        <v>8</v>
      </c>
      <c r="AI137" s="74">
        <v>5</v>
      </c>
      <c r="AJ137" s="31">
        <f t="shared" si="37"/>
        <v>7.38</v>
      </c>
      <c r="AL137" s="35">
        <f t="shared" si="35"/>
        <v>7.9660778703965827</v>
      </c>
      <c r="AM137" s="35">
        <f t="shared" si="36"/>
        <v>0.58607787039658277</v>
      </c>
      <c r="AN137" s="35"/>
    </row>
    <row r="138" spans="13:42" x14ac:dyDescent="0.25">
      <c r="O138" s="31"/>
      <c r="AG138">
        <v>172</v>
      </c>
      <c r="AH138" s="74">
        <v>8</v>
      </c>
      <c r="AI138" s="74">
        <v>6</v>
      </c>
      <c r="AJ138" s="31">
        <f t="shared" si="37"/>
        <v>7.23</v>
      </c>
      <c r="AL138" s="35">
        <f t="shared" si="35"/>
        <v>7.8377310074345603</v>
      </c>
      <c r="AM138" s="35">
        <f t="shared" si="36"/>
        <v>0.60773100743455988</v>
      </c>
      <c r="AN138" s="35"/>
    </row>
    <row r="139" spans="13:42" x14ac:dyDescent="0.25">
      <c r="AG139">
        <v>173</v>
      </c>
      <c r="AH139" s="74">
        <v>8</v>
      </c>
      <c r="AI139" s="74">
        <v>7</v>
      </c>
      <c r="AJ139" s="31">
        <f t="shared" si="37"/>
        <v>7.33</v>
      </c>
      <c r="AL139" s="35">
        <f t="shared" si="35"/>
        <v>7.7093841444725379</v>
      </c>
      <c r="AM139" s="35">
        <f t="shared" si="36"/>
        <v>0.37938414447253788</v>
      </c>
      <c r="AN139" s="35"/>
    </row>
    <row r="140" spans="13:42" x14ac:dyDescent="0.25">
      <c r="AG140">
        <v>174</v>
      </c>
      <c r="AH140" s="74">
        <v>8</v>
      </c>
      <c r="AI140" s="74">
        <v>8</v>
      </c>
      <c r="AJ140" s="31">
        <f t="shared" si="37"/>
        <v>6.81</v>
      </c>
      <c r="AL140" s="35">
        <f t="shared" si="35"/>
        <v>7.5810372815105156</v>
      </c>
      <c r="AM140" s="35">
        <f t="shared" si="36"/>
        <v>0.77103728151051598</v>
      </c>
      <c r="AN140" s="35"/>
    </row>
    <row r="141" spans="13:42" x14ac:dyDescent="0.25">
      <c r="AG141">
        <v>175</v>
      </c>
      <c r="AH141" s="74">
        <v>8</v>
      </c>
      <c r="AI141" s="74">
        <v>9</v>
      </c>
      <c r="AJ141" s="31">
        <f t="shared" si="37"/>
        <v>6.81</v>
      </c>
      <c r="AL141" s="35">
        <f t="shared" si="35"/>
        <v>7.4526904185484932</v>
      </c>
      <c r="AM141" s="35">
        <f t="shared" si="36"/>
        <v>0.64269041854849362</v>
      </c>
      <c r="AN141" s="35"/>
    </row>
    <row r="142" spans="13:42" x14ac:dyDescent="0.25">
      <c r="AG142">
        <v>176</v>
      </c>
      <c r="AH142" s="74">
        <v>8</v>
      </c>
      <c r="AI142" s="74">
        <v>10</v>
      </c>
      <c r="AJ142" s="31">
        <f t="shared" si="37"/>
        <v>7.57</v>
      </c>
      <c r="AL142" s="35">
        <f t="shared" si="35"/>
        <v>7.3243435555864709</v>
      </c>
      <c r="AM142" s="35">
        <f t="shared" si="36"/>
        <v>-0.24565644441352941</v>
      </c>
      <c r="AN142" s="35"/>
    </row>
    <row r="143" spans="13:42" x14ac:dyDescent="0.25">
      <c r="AG143">
        <v>177</v>
      </c>
      <c r="AH143" s="74">
        <v>8</v>
      </c>
      <c r="AI143" s="74">
        <v>11</v>
      </c>
      <c r="AJ143" s="31">
        <f t="shared" si="37"/>
        <v>7.59</v>
      </c>
      <c r="AL143" s="35">
        <f t="shared" si="35"/>
        <v>7.1959966926244476</v>
      </c>
      <c r="AM143" s="35">
        <f t="shared" si="36"/>
        <v>-0.39400330737555223</v>
      </c>
      <c r="AN143" s="35"/>
    </row>
    <row r="144" spans="13:42" x14ac:dyDescent="0.25">
      <c r="AH144" s="74"/>
      <c r="AI144" s="74"/>
      <c r="AJ144" s="31"/>
      <c r="AL144" s="35"/>
      <c r="AM144" s="35"/>
    </row>
    <row r="145" spans="34:39" x14ac:dyDescent="0.25">
      <c r="AH145" s="74"/>
      <c r="AI145" s="74"/>
      <c r="AL145" s="35"/>
      <c r="AM145" s="35"/>
    </row>
    <row r="146" spans="34:39" x14ac:dyDescent="0.25">
      <c r="AH146" s="74"/>
      <c r="AI146" s="74"/>
      <c r="AL146" s="35"/>
      <c r="AM146" s="35"/>
    </row>
    <row r="147" spans="34:39" x14ac:dyDescent="0.25">
      <c r="AH147" s="74"/>
      <c r="AI147" s="74"/>
      <c r="AJ147" s="31"/>
      <c r="AL147" s="35"/>
      <c r="AM147" s="35"/>
    </row>
    <row r="148" spans="34:39" x14ac:dyDescent="0.25">
      <c r="AH148" s="74"/>
      <c r="AI148" s="74"/>
      <c r="AJ148" s="31"/>
      <c r="AL148" s="35"/>
      <c r="AM148" s="35"/>
    </row>
    <row r="149" spans="34:39" x14ac:dyDescent="0.25">
      <c r="AH149" s="74"/>
      <c r="AI149" s="74"/>
      <c r="AJ149" s="31"/>
      <c r="AL149" s="35"/>
      <c r="AM149" s="35"/>
    </row>
    <row r="150" spans="34:39" x14ac:dyDescent="0.25">
      <c r="AH150" s="74"/>
      <c r="AI150" s="74"/>
      <c r="AJ150" s="31"/>
      <c r="AL150" s="35"/>
      <c r="AM150" s="35"/>
    </row>
    <row r="151" spans="34:39" x14ac:dyDescent="0.25">
      <c r="AH151" s="74"/>
      <c r="AI151" s="74"/>
      <c r="AJ151" s="31"/>
      <c r="AL151" s="35"/>
      <c r="AM151" s="35"/>
    </row>
    <row r="152" spans="34:39" x14ac:dyDescent="0.25">
      <c r="AI152" s="74"/>
    </row>
    <row r="153" spans="34:39" x14ac:dyDescent="0.25">
      <c r="AI153" s="74"/>
    </row>
    <row r="154" spans="34:39" x14ac:dyDescent="0.25">
      <c r="AI154" s="74"/>
    </row>
    <row r="155" spans="34:39" x14ac:dyDescent="0.25">
      <c r="AI155" s="74"/>
    </row>
  </sheetData>
  <mergeCells count="4">
    <mergeCell ref="M12:O13"/>
    <mergeCell ref="B12:J12"/>
    <mergeCell ref="C14:J14"/>
    <mergeCell ref="A1:N1"/>
  </mergeCells>
  <hyperlinks>
    <hyperlink ref="C4" r:id="rId1"/>
  </hyperlinks>
  <pageMargins left="0.7" right="0.7" top="0.75" bottom="0.75" header="0.3" footer="0.3"/>
  <pageSetup orientation="portrait" horizontalDpi="300" verticalDpi="30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showGridLines="0" zoomScale="70" zoomScaleNormal="70" workbookViewId="0">
      <selection sqref="A1:N1"/>
    </sheetView>
  </sheetViews>
  <sheetFormatPr defaultRowHeight="15" x14ac:dyDescent="0.25"/>
  <cols>
    <col min="2" max="3" width="18.5703125" style="91" customWidth="1"/>
    <col min="12" max="13" width="17.85546875" customWidth="1"/>
  </cols>
  <sheetData>
    <row r="1" spans="1:14" x14ac:dyDescent="0.25">
      <c r="A1" s="264" t="s">
        <v>599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x14ac:dyDescent="0.25">
      <c r="B2" s="184"/>
      <c r="C2" s="184"/>
    </row>
    <row r="3" spans="1:14" x14ac:dyDescent="0.25">
      <c r="B3" s="184"/>
      <c r="C3" s="184"/>
    </row>
    <row r="4" spans="1:14" x14ac:dyDescent="0.25">
      <c r="B4" s="271" t="s">
        <v>457</v>
      </c>
      <c r="C4" s="271"/>
      <c r="L4" s="271" t="s">
        <v>458</v>
      </c>
      <c r="M4" s="271"/>
    </row>
    <row r="5" spans="1:14" x14ac:dyDescent="0.25">
      <c r="B5" s="91" t="s">
        <v>455</v>
      </c>
      <c r="C5" s="91" t="s">
        <v>456</v>
      </c>
      <c r="L5" s="91" t="s">
        <v>455</v>
      </c>
      <c r="M5" s="91" t="s">
        <v>456</v>
      </c>
    </row>
    <row r="6" spans="1:14" x14ac:dyDescent="0.25">
      <c r="B6" s="91">
        <v>0</v>
      </c>
      <c r="C6" s="91">
        <v>100</v>
      </c>
      <c r="L6" s="91">
        <v>0</v>
      </c>
      <c r="M6" s="91">
        <v>100</v>
      </c>
    </row>
    <row r="7" spans="1:14" x14ac:dyDescent="0.25">
      <c r="B7" s="91">
        <f>B6+1</f>
        <v>1</v>
      </c>
      <c r="C7" s="74">
        <f>C6*1.25</f>
        <v>125</v>
      </c>
      <c r="L7" s="91">
        <f>L6+1</f>
        <v>1</v>
      </c>
      <c r="M7" s="74">
        <f>M6*0.9</f>
        <v>90</v>
      </c>
    </row>
    <row r="8" spans="1:14" x14ac:dyDescent="0.25">
      <c r="B8" s="91">
        <f t="shared" ref="B8:B71" si="0">B7+1</f>
        <v>2</v>
      </c>
      <c r="C8" s="74">
        <f t="shared" ref="C8:C71" si="1">C7*1.25</f>
        <v>156.25</v>
      </c>
      <c r="L8" s="91">
        <f t="shared" ref="L8:L48" si="2">L7+1</f>
        <v>2</v>
      </c>
      <c r="M8" s="74">
        <f t="shared" ref="M8:M48" si="3">M7*0.9</f>
        <v>81</v>
      </c>
    </row>
    <row r="9" spans="1:14" x14ac:dyDescent="0.25">
      <c r="B9" s="91">
        <f t="shared" si="0"/>
        <v>3</v>
      </c>
      <c r="C9" s="74">
        <f t="shared" si="1"/>
        <v>195.3125</v>
      </c>
      <c r="L9" s="91">
        <f t="shared" si="2"/>
        <v>3</v>
      </c>
      <c r="M9" s="74">
        <f t="shared" si="3"/>
        <v>72.900000000000006</v>
      </c>
    </row>
    <row r="10" spans="1:14" x14ac:dyDescent="0.25">
      <c r="B10" s="91">
        <f t="shared" si="0"/>
        <v>4</v>
      </c>
      <c r="C10" s="74">
        <f t="shared" si="1"/>
        <v>244.140625</v>
      </c>
      <c r="L10" s="91">
        <f t="shared" si="2"/>
        <v>4</v>
      </c>
      <c r="M10" s="74">
        <f t="shared" si="3"/>
        <v>65.610000000000014</v>
      </c>
    </row>
    <row r="11" spans="1:14" x14ac:dyDescent="0.25">
      <c r="B11" s="91">
        <f t="shared" si="0"/>
        <v>5</v>
      </c>
      <c r="C11" s="74">
        <f t="shared" si="1"/>
        <v>305.17578125</v>
      </c>
      <c r="L11" s="91">
        <f t="shared" si="2"/>
        <v>5</v>
      </c>
      <c r="M11" s="74">
        <f t="shared" si="3"/>
        <v>59.049000000000014</v>
      </c>
    </row>
    <row r="12" spans="1:14" x14ac:dyDescent="0.25">
      <c r="B12" s="91">
        <f t="shared" si="0"/>
        <v>6</v>
      </c>
      <c r="C12" s="74">
        <f t="shared" si="1"/>
        <v>381.4697265625</v>
      </c>
      <c r="L12" s="91">
        <f t="shared" si="2"/>
        <v>6</v>
      </c>
      <c r="M12" s="74">
        <f t="shared" si="3"/>
        <v>53.144100000000016</v>
      </c>
    </row>
    <row r="13" spans="1:14" x14ac:dyDescent="0.25">
      <c r="B13" s="91">
        <f t="shared" si="0"/>
        <v>7</v>
      </c>
      <c r="C13" s="74">
        <f t="shared" si="1"/>
        <v>476.837158203125</v>
      </c>
      <c r="L13" s="91">
        <f t="shared" si="2"/>
        <v>7</v>
      </c>
      <c r="M13" s="74">
        <f t="shared" si="3"/>
        <v>47.829690000000014</v>
      </c>
    </row>
    <row r="14" spans="1:14" x14ac:dyDescent="0.25">
      <c r="B14" s="91">
        <f t="shared" si="0"/>
        <v>8</v>
      </c>
      <c r="C14" s="74">
        <f t="shared" si="1"/>
        <v>596.04644775390625</v>
      </c>
      <c r="L14" s="91">
        <f t="shared" si="2"/>
        <v>8</v>
      </c>
      <c r="M14" s="74">
        <f t="shared" si="3"/>
        <v>43.046721000000012</v>
      </c>
    </row>
    <row r="15" spans="1:14" x14ac:dyDescent="0.25">
      <c r="B15" s="91">
        <f t="shared" si="0"/>
        <v>9</v>
      </c>
      <c r="C15" s="74">
        <f t="shared" si="1"/>
        <v>745.05805969238281</v>
      </c>
      <c r="L15" s="91">
        <f t="shared" si="2"/>
        <v>9</v>
      </c>
      <c r="M15" s="74">
        <f t="shared" si="3"/>
        <v>38.742048900000015</v>
      </c>
    </row>
    <row r="16" spans="1:14" x14ac:dyDescent="0.25">
      <c r="B16" s="91">
        <f t="shared" si="0"/>
        <v>10</v>
      </c>
      <c r="C16" s="74">
        <f t="shared" si="1"/>
        <v>931.32257461547852</v>
      </c>
      <c r="L16" s="91">
        <f t="shared" si="2"/>
        <v>10</v>
      </c>
      <c r="M16" s="74">
        <f t="shared" si="3"/>
        <v>34.867844010000013</v>
      </c>
    </row>
    <row r="17" spans="2:13" x14ac:dyDescent="0.25">
      <c r="B17" s="91">
        <f t="shared" si="0"/>
        <v>11</v>
      </c>
      <c r="C17" s="74">
        <f t="shared" si="1"/>
        <v>1164.1532182693481</v>
      </c>
      <c r="L17" s="91">
        <f t="shared" si="2"/>
        <v>11</v>
      </c>
      <c r="M17" s="74">
        <f t="shared" si="3"/>
        <v>31.381059609000012</v>
      </c>
    </row>
    <row r="18" spans="2:13" x14ac:dyDescent="0.25">
      <c r="B18" s="91">
        <f t="shared" si="0"/>
        <v>12</v>
      </c>
      <c r="C18" s="74">
        <f t="shared" si="1"/>
        <v>1455.1915228366852</v>
      </c>
      <c r="L18" s="91">
        <f t="shared" si="2"/>
        <v>12</v>
      </c>
      <c r="M18" s="74">
        <f t="shared" si="3"/>
        <v>28.242953648100013</v>
      </c>
    </row>
    <row r="19" spans="2:13" x14ac:dyDescent="0.25">
      <c r="B19" s="91">
        <f t="shared" si="0"/>
        <v>13</v>
      </c>
      <c r="C19" s="74">
        <f t="shared" si="1"/>
        <v>1818.9894035458565</v>
      </c>
      <c r="L19" s="91">
        <f t="shared" si="2"/>
        <v>13</v>
      </c>
      <c r="M19" s="74">
        <f t="shared" si="3"/>
        <v>25.418658283290011</v>
      </c>
    </row>
    <row r="20" spans="2:13" x14ac:dyDescent="0.25">
      <c r="B20" s="91">
        <f t="shared" si="0"/>
        <v>14</v>
      </c>
      <c r="C20" s="74">
        <f t="shared" si="1"/>
        <v>2273.7367544323206</v>
      </c>
      <c r="L20" s="91">
        <f t="shared" si="2"/>
        <v>14</v>
      </c>
      <c r="M20" s="74">
        <f t="shared" si="3"/>
        <v>22.876792454961009</v>
      </c>
    </row>
    <row r="21" spans="2:13" x14ac:dyDescent="0.25">
      <c r="B21" s="91">
        <f t="shared" si="0"/>
        <v>15</v>
      </c>
      <c r="C21" s="74">
        <f t="shared" si="1"/>
        <v>2842.1709430404007</v>
      </c>
      <c r="L21" s="91">
        <f t="shared" si="2"/>
        <v>15</v>
      </c>
      <c r="M21" s="74">
        <f t="shared" si="3"/>
        <v>20.589113209464909</v>
      </c>
    </row>
    <row r="22" spans="2:13" x14ac:dyDescent="0.25">
      <c r="B22" s="91">
        <f t="shared" si="0"/>
        <v>16</v>
      </c>
      <c r="C22" s="74">
        <f t="shared" si="1"/>
        <v>3552.7136788005009</v>
      </c>
      <c r="L22" s="91">
        <f t="shared" si="2"/>
        <v>16</v>
      </c>
      <c r="M22" s="74">
        <f t="shared" si="3"/>
        <v>18.53020188851842</v>
      </c>
    </row>
    <row r="23" spans="2:13" x14ac:dyDescent="0.25">
      <c r="B23" s="91">
        <f t="shared" si="0"/>
        <v>17</v>
      </c>
      <c r="C23" s="74">
        <f t="shared" si="1"/>
        <v>4440.8920985006262</v>
      </c>
      <c r="L23" s="91">
        <f t="shared" si="2"/>
        <v>17</v>
      </c>
      <c r="M23" s="74">
        <f t="shared" si="3"/>
        <v>16.67718169966658</v>
      </c>
    </row>
    <row r="24" spans="2:13" x14ac:dyDescent="0.25">
      <c r="B24" s="91">
        <f t="shared" si="0"/>
        <v>18</v>
      </c>
      <c r="C24" s="74">
        <f t="shared" si="1"/>
        <v>5551.1151231257827</v>
      </c>
      <c r="L24" s="91">
        <f t="shared" si="2"/>
        <v>18</v>
      </c>
      <c r="M24" s="74">
        <f t="shared" si="3"/>
        <v>15.009463529699921</v>
      </c>
    </row>
    <row r="25" spans="2:13" x14ac:dyDescent="0.25">
      <c r="B25" s="91">
        <f t="shared" si="0"/>
        <v>19</v>
      </c>
      <c r="C25" s="74">
        <f t="shared" si="1"/>
        <v>6938.8939039072284</v>
      </c>
      <c r="L25" s="91">
        <f t="shared" si="2"/>
        <v>19</v>
      </c>
      <c r="M25" s="74">
        <f t="shared" si="3"/>
        <v>13.50851717672993</v>
      </c>
    </row>
    <row r="26" spans="2:13" x14ac:dyDescent="0.25">
      <c r="B26" s="91">
        <f t="shared" si="0"/>
        <v>20</v>
      </c>
      <c r="C26" s="74">
        <f t="shared" si="1"/>
        <v>8673.6173798840355</v>
      </c>
      <c r="L26" s="91">
        <f t="shared" si="2"/>
        <v>20</v>
      </c>
      <c r="M26" s="74">
        <f t="shared" si="3"/>
        <v>12.157665459056936</v>
      </c>
    </row>
    <row r="27" spans="2:13" x14ac:dyDescent="0.25">
      <c r="B27" s="91">
        <f t="shared" si="0"/>
        <v>21</v>
      </c>
      <c r="C27" s="74">
        <f t="shared" si="1"/>
        <v>10842.021724855043</v>
      </c>
      <c r="L27" s="91">
        <f t="shared" si="2"/>
        <v>21</v>
      </c>
      <c r="M27" s="74">
        <f t="shared" si="3"/>
        <v>10.941898913151244</v>
      </c>
    </row>
    <row r="28" spans="2:13" x14ac:dyDescent="0.25">
      <c r="B28" s="91">
        <f t="shared" si="0"/>
        <v>22</v>
      </c>
      <c r="C28" s="74">
        <f t="shared" si="1"/>
        <v>13552.527156068805</v>
      </c>
      <c r="L28" s="91">
        <f t="shared" si="2"/>
        <v>22</v>
      </c>
      <c r="M28" s="74">
        <f t="shared" si="3"/>
        <v>9.8477090218361187</v>
      </c>
    </row>
    <row r="29" spans="2:13" x14ac:dyDescent="0.25">
      <c r="B29" s="91">
        <f t="shared" si="0"/>
        <v>23</v>
      </c>
      <c r="C29" s="74">
        <f t="shared" si="1"/>
        <v>16940.658945086005</v>
      </c>
      <c r="L29" s="91">
        <f t="shared" si="2"/>
        <v>23</v>
      </c>
      <c r="M29" s="74">
        <f t="shared" si="3"/>
        <v>8.8629381196525063</v>
      </c>
    </row>
    <row r="30" spans="2:13" x14ac:dyDescent="0.25">
      <c r="B30" s="91">
        <f t="shared" si="0"/>
        <v>24</v>
      </c>
      <c r="C30" s="74">
        <f t="shared" si="1"/>
        <v>21175.823681357506</v>
      </c>
      <c r="L30" s="91">
        <f t="shared" si="2"/>
        <v>24</v>
      </c>
      <c r="M30" s="74">
        <f t="shared" si="3"/>
        <v>7.9766443076872555</v>
      </c>
    </row>
    <row r="31" spans="2:13" x14ac:dyDescent="0.25">
      <c r="B31" s="91">
        <f t="shared" si="0"/>
        <v>25</v>
      </c>
      <c r="C31" s="74">
        <f t="shared" si="1"/>
        <v>26469.779601696882</v>
      </c>
      <c r="L31" s="91">
        <f t="shared" si="2"/>
        <v>25</v>
      </c>
      <c r="M31" s="74">
        <f t="shared" si="3"/>
        <v>7.1789798769185298</v>
      </c>
    </row>
    <row r="32" spans="2:13" x14ac:dyDescent="0.25">
      <c r="B32" s="91">
        <f t="shared" si="0"/>
        <v>26</v>
      </c>
      <c r="C32" s="74">
        <f t="shared" si="1"/>
        <v>33087.224502121106</v>
      </c>
      <c r="L32" s="91">
        <f t="shared" si="2"/>
        <v>26</v>
      </c>
      <c r="M32" s="74">
        <f t="shared" si="3"/>
        <v>6.4610818892266773</v>
      </c>
    </row>
    <row r="33" spans="2:13" x14ac:dyDescent="0.25">
      <c r="B33" s="91">
        <f t="shared" si="0"/>
        <v>27</v>
      </c>
      <c r="C33" s="74">
        <f t="shared" si="1"/>
        <v>41359.03062765138</v>
      </c>
      <c r="L33" s="91">
        <f t="shared" si="2"/>
        <v>27</v>
      </c>
      <c r="M33" s="74">
        <f t="shared" si="3"/>
        <v>5.8149737003040096</v>
      </c>
    </row>
    <row r="34" spans="2:13" x14ac:dyDescent="0.25">
      <c r="B34" s="91">
        <f t="shared" si="0"/>
        <v>28</v>
      </c>
      <c r="C34" s="74">
        <f t="shared" si="1"/>
        <v>51698.788284564223</v>
      </c>
      <c r="L34" s="91">
        <f t="shared" si="2"/>
        <v>28</v>
      </c>
      <c r="M34" s="74">
        <f t="shared" si="3"/>
        <v>5.2334763302736089</v>
      </c>
    </row>
    <row r="35" spans="2:13" x14ac:dyDescent="0.25">
      <c r="B35" s="91">
        <f t="shared" si="0"/>
        <v>29</v>
      </c>
      <c r="C35" s="74">
        <f t="shared" si="1"/>
        <v>64623.485355705277</v>
      </c>
      <c r="L35" s="91">
        <f t="shared" si="2"/>
        <v>29</v>
      </c>
      <c r="M35" s="74">
        <f t="shared" si="3"/>
        <v>4.7101286972462484</v>
      </c>
    </row>
    <row r="36" spans="2:13" x14ac:dyDescent="0.25">
      <c r="B36" s="91">
        <f t="shared" si="0"/>
        <v>30</v>
      </c>
      <c r="C36" s="74">
        <f t="shared" si="1"/>
        <v>80779.356694631599</v>
      </c>
      <c r="L36" s="91">
        <f t="shared" si="2"/>
        <v>30</v>
      </c>
      <c r="M36" s="74">
        <f t="shared" si="3"/>
        <v>4.2391158275216236</v>
      </c>
    </row>
    <row r="37" spans="2:13" x14ac:dyDescent="0.25">
      <c r="B37" s="91">
        <f t="shared" si="0"/>
        <v>31</v>
      </c>
      <c r="C37" s="74">
        <f t="shared" si="1"/>
        <v>100974.19586828951</v>
      </c>
      <c r="L37" s="91">
        <f t="shared" si="2"/>
        <v>31</v>
      </c>
      <c r="M37" s="74">
        <f t="shared" si="3"/>
        <v>3.8152042447694612</v>
      </c>
    </row>
    <row r="38" spans="2:13" x14ac:dyDescent="0.25">
      <c r="B38" s="91">
        <f t="shared" si="0"/>
        <v>32</v>
      </c>
      <c r="C38" s="74">
        <f t="shared" si="1"/>
        <v>126217.74483536188</v>
      </c>
      <c r="L38" s="91">
        <f t="shared" si="2"/>
        <v>32</v>
      </c>
      <c r="M38" s="74">
        <f t="shared" si="3"/>
        <v>3.4336838202925151</v>
      </c>
    </row>
    <row r="39" spans="2:13" x14ac:dyDescent="0.25">
      <c r="B39" s="91">
        <f t="shared" si="0"/>
        <v>33</v>
      </c>
      <c r="C39" s="74">
        <f t="shared" si="1"/>
        <v>157772.18104420236</v>
      </c>
      <c r="L39" s="91">
        <f t="shared" si="2"/>
        <v>33</v>
      </c>
      <c r="M39" s="74">
        <f t="shared" si="3"/>
        <v>3.0903154382632638</v>
      </c>
    </row>
    <row r="40" spans="2:13" x14ac:dyDescent="0.25">
      <c r="B40" s="91">
        <f t="shared" si="0"/>
        <v>34</v>
      </c>
      <c r="C40" s="74">
        <f t="shared" si="1"/>
        <v>197215.22630525293</v>
      </c>
      <c r="L40" s="91">
        <f t="shared" si="2"/>
        <v>34</v>
      </c>
      <c r="M40" s="74">
        <f t="shared" si="3"/>
        <v>2.7812838944369376</v>
      </c>
    </row>
    <row r="41" spans="2:13" x14ac:dyDescent="0.25">
      <c r="B41" s="91">
        <f t="shared" si="0"/>
        <v>35</v>
      </c>
      <c r="C41" s="74">
        <f t="shared" si="1"/>
        <v>246519.03288156615</v>
      </c>
      <c r="L41" s="91">
        <f t="shared" si="2"/>
        <v>35</v>
      </c>
      <c r="M41" s="74">
        <f t="shared" si="3"/>
        <v>2.5031555049932437</v>
      </c>
    </row>
    <row r="42" spans="2:13" x14ac:dyDescent="0.25">
      <c r="B42" s="91">
        <f t="shared" si="0"/>
        <v>36</v>
      </c>
      <c r="C42" s="74">
        <f t="shared" si="1"/>
        <v>308148.79110195767</v>
      </c>
      <c r="L42" s="91">
        <f t="shared" si="2"/>
        <v>36</v>
      </c>
      <c r="M42" s="74">
        <f t="shared" si="3"/>
        <v>2.2528399544939193</v>
      </c>
    </row>
    <row r="43" spans="2:13" x14ac:dyDescent="0.25">
      <c r="B43" s="91">
        <f t="shared" si="0"/>
        <v>37</v>
      </c>
      <c r="C43" s="74">
        <f t="shared" si="1"/>
        <v>385185.98887744709</v>
      </c>
      <c r="L43" s="91">
        <f t="shared" si="2"/>
        <v>37</v>
      </c>
      <c r="M43" s="74">
        <f t="shared" si="3"/>
        <v>2.0275559590445273</v>
      </c>
    </row>
    <row r="44" spans="2:13" x14ac:dyDescent="0.25">
      <c r="B44" s="91">
        <f t="shared" si="0"/>
        <v>38</v>
      </c>
      <c r="C44" s="74">
        <f t="shared" si="1"/>
        <v>481482.48609680886</v>
      </c>
      <c r="L44" s="91">
        <f t="shared" si="2"/>
        <v>38</v>
      </c>
      <c r="M44" s="74">
        <f t="shared" si="3"/>
        <v>1.8248003631400747</v>
      </c>
    </row>
    <row r="45" spans="2:13" x14ac:dyDescent="0.25">
      <c r="B45" s="91">
        <f t="shared" si="0"/>
        <v>39</v>
      </c>
      <c r="C45" s="74">
        <f t="shared" si="1"/>
        <v>601853.10762101109</v>
      </c>
      <c r="L45" s="91">
        <f t="shared" si="2"/>
        <v>39</v>
      </c>
      <c r="M45" s="74">
        <f t="shared" si="3"/>
        <v>1.6423203268260673</v>
      </c>
    </row>
    <row r="46" spans="2:13" x14ac:dyDescent="0.25">
      <c r="B46" s="91">
        <f t="shared" si="0"/>
        <v>40</v>
      </c>
      <c r="C46" s="74">
        <f t="shared" si="1"/>
        <v>752316.38452626392</v>
      </c>
      <c r="L46" s="91">
        <f t="shared" si="2"/>
        <v>40</v>
      </c>
      <c r="M46" s="74">
        <f t="shared" si="3"/>
        <v>1.4780882941434605</v>
      </c>
    </row>
    <row r="47" spans="2:13" x14ac:dyDescent="0.25">
      <c r="B47" s="91">
        <f t="shared" si="0"/>
        <v>41</v>
      </c>
      <c r="C47" s="74">
        <f t="shared" si="1"/>
        <v>940395.4806578299</v>
      </c>
      <c r="L47" s="91">
        <f t="shared" si="2"/>
        <v>41</v>
      </c>
      <c r="M47" s="74">
        <f t="shared" si="3"/>
        <v>1.3302794647291145</v>
      </c>
    </row>
    <row r="48" spans="2:13" x14ac:dyDescent="0.25">
      <c r="B48" s="91">
        <f t="shared" si="0"/>
        <v>42</v>
      </c>
      <c r="C48" s="74">
        <f t="shared" si="1"/>
        <v>1175494.3508222874</v>
      </c>
      <c r="L48" s="91">
        <f t="shared" si="2"/>
        <v>42</v>
      </c>
      <c r="M48" s="74">
        <f t="shared" si="3"/>
        <v>1.1972515182562031</v>
      </c>
    </row>
    <row r="49" spans="2:3" x14ac:dyDescent="0.25">
      <c r="B49" s="91">
        <f t="shared" si="0"/>
        <v>43</v>
      </c>
      <c r="C49" s="74">
        <f t="shared" si="1"/>
        <v>1469367.9385278593</v>
      </c>
    </row>
    <row r="50" spans="2:3" x14ac:dyDescent="0.25">
      <c r="B50" s="91">
        <f t="shared" si="0"/>
        <v>44</v>
      </c>
      <c r="C50" s="74">
        <f t="shared" si="1"/>
        <v>1836709.9231598242</v>
      </c>
    </row>
    <row r="51" spans="2:3" x14ac:dyDescent="0.25">
      <c r="B51" s="91">
        <f t="shared" si="0"/>
        <v>45</v>
      </c>
      <c r="C51" s="74">
        <f t="shared" si="1"/>
        <v>2295887.4039497804</v>
      </c>
    </row>
    <row r="52" spans="2:3" x14ac:dyDescent="0.25">
      <c r="B52" s="91">
        <f t="shared" si="0"/>
        <v>46</v>
      </c>
      <c r="C52" s="74">
        <f t="shared" si="1"/>
        <v>2869859.2549372255</v>
      </c>
    </row>
    <row r="53" spans="2:3" x14ac:dyDescent="0.25">
      <c r="B53" s="91">
        <f t="shared" si="0"/>
        <v>47</v>
      </c>
      <c r="C53" s="74">
        <f t="shared" si="1"/>
        <v>3587324.068671532</v>
      </c>
    </row>
    <row r="54" spans="2:3" x14ac:dyDescent="0.25">
      <c r="B54" s="91">
        <f t="shared" si="0"/>
        <v>48</v>
      </c>
      <c r="C54" s="74">
        <f t="shared" si="1"/>
        <v>4484155.085839415</v>
      </c>
    </row>
    <row r="55" spans="2:3" x14ac:dyDescent="0.25">
      <c r="B55" s="91">
        <f t="shared" si="0"/>
        <v>49</v>
      </c>
      <c r="C55" s="74">
        <f t="shared" si="1"/>
        <v>5605193.8572992682</v>
      </c>
    </row>
    <row r="56" spans="2:3" x14ac:dyDescent="0.25">
      <c r="B56" s="91">
        <f t="shared" si="0"/>
        <v>50</v>
      </c>
      <c r="C56" s="74">
        <f t="shared" si="1"/>
        <v>7006492.3216240853</v>
      </c>
    </row>
    <row r="57" spans="2:3" x14ac:dyDescent="0.25">
      <c r="B57" s="91">
        <f t="shared" si="0"/>
        <v>51</v>
      </c>
      <c r="C57" s="74">
        <f t="shared" si="1"/>
        <v>8758115.4020301066</v>
      </c>
    </row>
    <row r="58" spans="2:3" x14ac:dyDescent="0.25">
      <c r="B58" s="91">
        <f t="shared" si="0"/>
        <v>52</v>
      </c>
      <c r="C58" s="74">
        <f t="shared" si="1"/>
        <v>10947644.252537634</v>
      </c>
    </row>
    <row r="59" spans="2:3" x14ac:dyDescent="0.25">
      <c r="B59" s="91">
        <f t="shared" si="0"/>
        <v>53</v>
      </c>
      <c r="C59" s="74">
        <f t="shared" si="1"/>
        <v>13684555.315672044</v>
      </c>
    </row>
    <row r="60" spans="2:3" x14ac:dyDescent="0.25">
      <c r="B60" s="91">
        <f t="shared" si="0"/>
        <v>54</v>
      </c>
      <c r="C60" s="74">
        <f t="shared" si="1"/>
        <v>17105694.144590054</v>
      </c>
    </row>
    <row r="61" spans="2:3" x14ac:dyDescent="0.25">
      <c r="B61" s="91">
        <f t="shared" si="0"/>
        <v>55</v>
      </c>
      <c r="C61" s="74">
        <f t="shared" si="1"/>
        <v>21382117.680737566</v>
      </c>
    </row>
    <row r="62" spans="2:3" x14ac:dyDescent="0.25">
      <c r="B62" s="91">
        <f t="shared" si="0"/>
        <v>56</v>
      </c>
      <c r="C62" s="74">
        <f t="shared" si="1"/>
        <v>26727647.100921959</v>
      </c>
    </row>
    <row r="63" spans="2:3" x14ac:dyDescent="0.25">
      <c r="B63" s="91">
        <f t="shared" si="0"/>
        <v>57</v>
      </c>
      <c r="C63" s="74">
        <f t="shared" si="1"/>
        <v>33409558.876152448</v>
      </c>
    </row>
    <row r="64" spans="2:3" x14ac:dyDescent="0.25">
      <c r="B64" s="91">
        <f t="shared" si="0"/>
        <v>58</v>
      </c>
      <c r="C64" s="74">
        <f t="shared" si="1"/>
        <v>41761948.595190562</v>
      </c>
    </row>
    <row r="65" spans="2:3" x14ac:dyDescent="0.25">
      <c r="B65" s="91">
        <f t="shared" si="0"/>
        <v>59</v>
      </c>
      <c r="C65" s="74">
        <f t="shared" si="1"/>
        <v>52202435.743988201</v>
      </c>
    </row>
    <row r="66" spans="2:3" x14ac:dyDescent="0.25">
      <c r="B66" s="91">
        <f t="shared" si="0"/>
        <v>60</v>
      </c>
      <c r="C66" s="74">
        <f t="shared" si="1"/>
        <v>65253044.679985255</v>
      </c>
    </row>
    <row r="67" spans="2:3" x14ac:dyDescent="0.25">
      <c r="B67" s="91">
        <f t="shared" si="0"/>
        <v>61</v>
      </c>
      <c r="C67" s="74">
        <f t="shared" si="1"/>
        <v>81566305.849981576</v>
      </c>
    </row>
    <row r="68" spans="2:3" x14ac:dyDescent="0.25">
      <c r="B68" s="91">
        <f t="shared" si="0"/>
        <v>62</v>
      </c>
      <c r="C68" s="74">
        <f t="shared" si="1"/>
        <v>101957882.31247696</v>
      </c>
    </row>
    <row r="69" spans="2:3" x14ac:dyDescent="0.25">
      <c r="B69" s="91">
        <f t="shared" si="0"/>
        <v>63</v>
      </c>
      <c r="C69" s="74">
        <f t="shared" si="1"/>
        <v>127447352.89059621</v>
      </c>
    </row>
    <row r="70" spans="2:3" x14ac:dyDescent="0.25">
      <c r="B70" s="91">
        <f t="shared" si="0"/>
        <v>64</v>
      </c>
      <c r="C70" s="74">
        <f t="shared" si="1"/>
        <v>159309191.11324525</v>
      </c>
    </row>
    <row r="71" spans="2:3" x14ac:dyDescent="0.25">
      <c r="B71" s="91">
        <f t="shared" si="0"/>
        <v>65</v>
      </c>
      <c r="C71" s="74">
        <f t="shared" si="1"/>
        <v>199136488.89155656</v>
      </c>
    </row>
    <row r="72" spans="2:3" x14ac:dyDescent="0.25">
      <c r="B72" s="91">
        <f t="shared" ref="B72:B106" si="4">B71+1</f>
        <v>66</v>
      </c>
      <c r="C72" s="74">
        <f t="shared" ref="C72:C106" si="5">C71*1.25</f>
        <v>248920611.11444569</v>
      </c>
    </row>
    <row r="73" spans="2:3" x14ac:dyDescent="0.25">
      <c r="B73" s="91">
        <f t="shared" si="4"/>
        <v>67</v>
      </c>
      <c r="C73" s="74">
        <f t="shared" si="5"/>
        <v>311150763.89305711</v>
      </c>
    </row>
    <row r="74" spans="2:3" x14ac:dyDescent="0.25">
      <c r="B74" s="91">
        <f t="shared" si="4"/>
        <v>68</v>
      </c>
      <c r="C74" s="74">
        <f t="shared" si="5"/>
        <v>388938454.86632138</v>
      </c>
    </row>
    <row r="75" spans="2:3" x14ac:dyDescent="0.25">
      <c r="B75" s="91">
        <f t="shared" si="4"/>
        <v>69</v>
      </c>
      <c r="C75" s="74">
        <f t="shared" si="5"/>
        <v>486173068.58290172</v>
      </c>
    </row>
    <row r="76" spans="2:3" x14ac:dyDescent="0.25">
      <c r="B76" s="91">
        <f t="shared" si="4"/>
        <v>70</v>
      </c>
      <c r="C76" s="74">
        <f t="shared" si="5"/>
        <v>607716335.7286272</v>
      </c>
    </row>
    <row r="77" spans="2:3" x14ac:dyDescent="0.25">
      <c r="B77" s="91">
        <f t="shared" si="4"/>
        <v>71</v>
      </c>
      <c r="C77" s="74">
        <f t="shared" si="5"/>
        <v>759645419.66078401</v>
      </c>
    </row>
    <row r="78" spans="2:3" x14ac:dyDescent="0.25">
      <c r="B78" s="91">
        <f t="shared" si="4"/>
        <v>72</v>
      </c>
      <c r="C78" s="74">
        <f t="shared" si="5"/>
        <v>949556774.57597995</v>
      </c>
    </row>
    <row r="79" spans="2:3" x14ac:dyDescent="0.25">
      <c r="B79" s="91">
        <f t="shared" si="4"/>
        <v>73</v>
      </c>
      <c r="C79" s="74">
        <f t="shared" si="5"/>
        <v>1186945968.219975</v>
      </c>
    </row>
    <row r="80" spans="2:3" x14ac:dyDescent="0.25">
      <c r="B80" s="91">
        <f t="shared" si="4"/>
        <v>74</v>
      </c>
      <c r="C80" s="74">
        <f t="shared" si="5"/>
        <v>1483682460.2749686</v>
      </c>
    </row>
    <row r="81" spans="2:3" x14ac:dyDescent="0.25">
      <c r="B81" s="91">
        <f t="shared" si="4"/>
        <v>75</v>
      </c>
      <c r="C81" s="74">
        <f t="shared" si="5"/>
        <v>1854603075.3437109</v>
      </c>
    </row>
    <row r="82" spans="2:3" x14ac:dyDescent="0.25">
      <c r="B82" s="91">
        <f t="shared" si="4"/>
        <v>76</v>
      </c>
      <c r="C82" s="74">
        <f t="shared" si="5"/>
        <v>2318253844.1796389</v>
      </c>
    </row>
    <row r="83" spans="2:3" x14ac:dyDescent="0.25">
      <c r="B83" s="91">
        <f t="shared" si="4"/>
        <v>77</v>
      </c>
      <c r="C83" s="74">
        <f t="shared" si="5"/>
        <v>2897817305.2245483</v>
      </c>
    </row>
    <row r="84" spans="2:3" x14ac:dyDescent="0.25">
      <c r="B84" s="91">
        <f t="shared" si="4"/>
        <v>78</v>
      </c>
      <c r="C84" s="74">
        <f t="shared" si="5"/>
        <v>3622271631.5306854</v>
      </c>
    </row>
    <row r="85" spans="2:3" x14ac:dyDescent="0.25">
      <c r="B85" s="91">
        <f t="shared" si="4"/>
        <v>79</v>
      </c>
      <c r="C85" s="74">
        <f t="shared" si="5"/>
        <v>4527839539.4133568</v>
      </c>
    </row>
    <row r="86" spans="2:3" x14ac:dyDescent="0.25">
      <c r="B86" s="91">
        <f t="shared" si="4"/>
        <v>80</v>
      </c>
      <c r="C86" s="74">
        <f t="shared" si="5"/>
        <v>5659799424.266696</v>
      </c>
    </row>
    <row r="87" spans="2:3" x14ac:dyDescent="0.25">
      <c r="B87" s="91">
        <f t="shared" si="4"/>
        <v>81</v>
      </c>
      <c r="C87" s="74">
        <f t="shared" si="5"/>
        <v>7074749280.3333702</v>
      </c>
    </row>
    <row r="88" spans="2:3" x14ac:dyDescent="0.25">
      <c r="B88" s="91">
        <f t="shared" si="4"/>
        <v>82</v>
      </c>
      <c r="C88" s="74">
        <f t="shared" si="5"/>
        <v>8843436600.4167137</v>
      </c>
    </row>
    <row r="89" spans="2:3" x14ac:dyDescent="0.25">
      <c r="B89" s="91">
        <f t="shared" si="4"/>
        <v>83</v>
      </c>
      <c r="C89" s="74">
        <f t="shared" si="5"/>
        <v>11054295750.520893</v>
      </c>
    </row>
    <row r="90" spans="2:3" x14ac:dyDescent="0.25">
      <c r="B90" s="91">
        <f t="shared" si="4"/>
        <v>84</v>
      </c>
      <c r="C90" s="74">
        <f t="shared" si="5"/>
        <v>13817869688.151115</v>
      </c>
    </row>
    <row r="91" spans="2:3" x14ac:dyDescent="0.25">
      <c r="B91" s="91">
        <f t="shared" si="4"/>
        <v>85</v>
      </c>
      <c r="C91" s="74">
        <f t="shared" si="5"/>
        <v>17272337110.188896</v>
      </c>
    </row>
    <row r="92" spans="2:3" x14ac:dyDescent="0.25">
      <c r="B92" s="91">
        <f t="shared" si="4"/>
        <v>86</v>
      </c>
      <c r="C92" s="74">
        <f t="shared" si="5"/>
        <v>21590421387.736122</v>
      </c>
    </row>
    <row r="93" spans="2:3" x14ac:dyDescent="0.25">
      <c r="B93" s="91">
        <f t="shared" si="4"/>
        <v>87</v>
      </c>
      <c r="C93" s="74">
        <f t="shared" si="5"/>
        <v>26988026734.670151</v>
      </c>
    </row>
    <row r="94" spans="2:3" x14ac:dyDescent="0.25">
      <c r="B94" s="91">
        <f t="shared" si="4"/>
        <v>88</v>
      </c>
      <c r="C94" s="74">
        <f t="shared" si="5"/>
        <v>33735033418.337688</v>
      </c>
    </row>
    <row r="95" spans="2:3" x14ac:dyDescent="0.25">
      <c r="B95" s="91">
        <f t="shared" si="4"/>
        <v>89</v>
      </c>
      <c r="C95" s="74">
        <f t="shared" si="5"/>
        <v>42168791772.922112</v>
      </c>
    </row>
    <row r="96" spans="2:3" x14ac:dyDescent="0.25">
      <c r="B96" s="91">
        <f t="shared" si="4"/>
        <v>90</v>
      </c>
      <c r="C96" s="74">
        <f t="shared" si="5"/>
        <v>52710989716.152641</v>
      </c>
    </row>
    <row r="97" spans="2:3" x14ac:dyDescent="0.25">
      <c r="B97" s="91">
        <f t="shared" si="4"/>
        <v>91</v>
      </c>
      <c r="C97" s="74">
        <f t="shared" si="5"/>
        <v>65888737145.190804</v>
      </c>
    </row>
    <row r="98" spans="2:3" x14ac:dyDescent="0.25">
      <c r="B98" s="91">
        <f t="shared" si="4"/>
        <v>92</v>
      </c>
      <c r="C98" s="74">
        <f t="shared" si="5"/>
        <v>82360921431.48851</v>
      </c>
    </row>
    <row r="99" spans="2:3" x14ac:dyDescent="0.25">
      <c r="B99" s="91">
        <f t="shared" si="4"/>
        <v>93</v>
      </c>
      <c r="C99" s="74">
        <f t="shared" si="5"/>
        <v>102951151789.36064</v>
      </c>
    </row>
    <row r="100" spans="2:3" x14ac:dyDescent="0.25">
      <c r="B100" s="91">
        <f t="shared" si="4"/>
        <v>94</v>
      </c>
      <c r="C100" s="74">
        <f t="shared" si="5"/>
        <v>128688939736.70081</v>
      </c>
    </row>
    <row r="101" spans="2:3" x14ac:dyDescent="0.25">
      <c r="B101" s="91">
        <f t="shared" si="4"/>
        <v>95</v>
      </c>
      <c r="C101" s="74">
        <f t="shared" si="5"/>
        <v>160861174670.87601</v>
      </c>
    </row>
    <row r="102" spans="2:3" x14ac:dyDescent="0.25">
      <c r="B102" s="91">
        <f t="shared" si="4"/>
        <v>96</v>
      </c>
      <c r="C102" s="74">
        <f t="shared" si="5"/>
        <v>201076468338.595</v>
      </c>
    </row>
    <row r="103" spans="2:3" x14ac:dyDescent="0.25">
      <c r="B103" s="91">
        <f t="shared" si="4"/>
        <v>97</v>
      </c>
      <c r="C103" s="74">
        <f t="shared" si="5"/>
        <v>251345585423.24374</v>
      </c>
    </row>
    <row r="104" spans="2:3" x14ac:dyDescent="0.25">
      <c r="B104" s="91">
        <f t="shared" si="4"/>
        <v>98</v>
      </c>
      <c r="C104" s="74">
        <f t="shared" si="5"/>
        <v>314181981779.05469</v>
      </c>
    </row>
    <row r="105" spans="2:3" x14ac:dyDescent="0.25">
      <c r="B105" s="91">
        <f t="shared" si="4"/>
        <v>99</v>
      </c>
      <c r="C105" s="74">
        <f t="shared" si="5"/>
        <v>392727477223.81836</v>
      </c>
    </row>
    <row r="106" spans="2:3" x14ac:dyDescent="0.25">
      <c r="B106" s="91">
        <f t="shared" si="4"/>
        <v>100</v>
      </c>
      <c r="C106" s="74">
        <f t="shared" si="5"/>
        <v>490909346529.77295</v>
      </c>
    </row>
  </sheetData>
  <mergeCells count="3">
    <mergeCell ref="B4:C4"/>
    <mergeCell ref="L4:M4"/>
    <mergeCell ref="A1:N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showGridLines="0" zoomScale="60" zoomScaleNormal="60" workbookViewId="0">
      <selection activeCell="M9" sqref="M9"/>
    </sheetView>
  </sheetViews>
  <sheetFormatPr defaultRowHeight="15" x14ac:dyDescent="0.25"/>
  <cols>
    <col min="1" max="1" width="37.7109375" customWidth="1"/>
    <col min="2" max="2" width="11.140625" customWidth="1"/>
    <col min="3" max="3" width="20.28515625" customWidth="1"/>
    <col min="4" max="4" width="28.7109375" customWidth="1"/>
    <col min="5" max="5" width="13.5703125" customWidth="1"/>
    <col min="6" max="6" width="10.28515625" style="50" customWidth="1"/>
    <col min="8" max="8" width="14.7109375" style="91" bestFit="1" customWidth="1"/>
    <col min="9" max="9" width="14.7109375" style="91" customWidth="1"/>
    <col min="10" max="10" width="13.28515625" style="91" customWidth="1"/>
  </cols>
  <sheetData>
    <row r="1" spans="1:14" x14ac:dyDescent="0.25">
      <c r="A1" s="264" t="s">
        <v>604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x14ac:dyDescent="0.25">
      <c r="F2" s="184"/>
      <c r="H2" s="184"/>
      <c r="I2" s="184"/>
      <c r="J2" s="184"/>
    </row>
    <row r="3" spans="1:14" x14ac:dyDescent="0.25">
      <c r="F3" s="184"/>
      <c r="H3" s="184"/>
      <c r="I3" s="184"/>
      <c r="J3" s="184"/>
    </row>
    <row r="4" spans="1:14" x14ac:dyDescent="0.25">
      <c r="B4" t="s">
        <v>602</v>
      </c>
      <c r="C4" s="58" t="s">
        <v>100</v>
      </c>
      <c r="E4" s="143" t="s">
        <v>603</v>
      </c>
      <c r="I4" s="143"/>
    </row>
    <row r="5" spans="1:14" x14ac:dyDescent="0.25">
      <c r="G5" t="s">
        <v>460</v>
      </c>
      <c r="H5" s="48">
        <f>AVERAGE(H7:H109)</f>
        <v>29.825242718446603</v>
      </c>
      <c r="J5" s="48">
        <f>AVERAGE(J7:J109)</f>
        <v>17.017880255668356</v>
      </c>
      <c r="L5" t="s">
        <v>31</v>
      </c>
      <c r="M5">
        <f>CORREL(H7:H109,J7:J109)</f>
        <v>0.97630857175336661</v>
      </c>
    </row>
    <row r="6" spans="1:14" ht="45" x14ac:dyDescent="0.25">
      <c r="A6" s="61" t="s">
        <v>101</v>
      </c>
      <c r="B6" s="61" t="s">
        <v>102</v>
      </c>
      <c r="C6" s="61" t="s">
        <v>103</v>
      </c>
      <c r="D6" s="61" t="s">
        <v>104</v>
      </c>
      <c r="E6" s="59" t="s">
        <v>105</v>
      </c>
      <c r="F6" s="61" t="s">
        <v>106</v>
      </c>
      <c r="G6" s="50"/>
      <c r="H6" s="61" t="s">
        <v>107</v>
      </c>
      <c r="I6" s="61" t="str">
        <f>C6</f>
        <v>Transistor count</v>
      </c>
      <c r="J6" s="61" t="s">
        <v>459</v>
      </c>
      <c r="L6" t="s">
        <v>461</v>
      </c>
      <c r="M6">
        <f>_xlfn.STDEV.S(J7:J109)</f>
        <v>4.743011758990872</v>
      </c>
    </row>
    <row r="7" spans="1:14" ht="16.149999999999999" customHeight="1" thickBot="1" x14ac:dyDescent="0.3">
      <c r="A7" s="62" t="s">
        <v>108</v>
      </c>
      <c r="B7" s="63">
        <v>1971</v>
      </c>
      <c r="C7" s="64">
        <v>2300</v>
      </c>
      <c r="D7" s="62" t="s">
        <v>109</v>
      </c>
      <c r="E7" s="63" t="s">
        <v>110</v>
      </c>
      <c r="F7" s="60" t="s">
        <v>111</v>
      </c>
      <c r="H7" s="74">
        <f>B7-1970</f>
        <v>1</v>
      </c>
      <c r="I7" s="74">
        <f t="shared" ref="I7:I70" si="0">C7</f>
        <v>2300</v>
      </c>
      <c r="J7" s="35">
        <f>LN(C7)</f>
        <v>7.7406644019172415</v>
      </c>
      <c r="L7" t="s">
        <v>462</v>
      </c>
      <c r="M7">
        <f>_xlfn.STDEV.S(H7:H109)</f>
        <v>13.217952130301484</v>
      </c>
    </row>
    <row r="8" spans="1:14" ht="16.149999999999999" customHeight="1" thickTop="1" x14ac:dyDescent="0.25">
      <c r="A8" s="62" t="s">
        <v>112</v>
      </c>
      <c r="B8" s="63">
        <v>1972</v>
      </c>
      <c r="C8" s="64">
        <v>3500</v>
      </c>
      <c r="D8" s="63" t="s">
        <v>109</v>
      </c>
      <c r="E8" s="63" t="s">
        <v>110</v>
      </c>
      <c r="F8" s="60" t="s">
        <v>113</v>
      </c>
      <c r="H8" s="74">
        <f t="shared" ref="H8:H71" si="1">B8-1970</f>
        <v>2</v>
      </c>
      <c r="I8" s="74">
        <f t="shared" si="0"/>
        <v>3500</v>
      </c>
      <c r="J8" s="35">
        <f t="shared" ref="J8:J71" si="2">LN(C8)</f>
        <v>8.1605182474775049</v>
      </c>
      <c r="L8" s="204" t="s">
        <v>32</v>
      </c>
      <c r="M8" s="189">
        <f>M5*M6/M7</f>
        <v>0.35032983858477501</v>
      </c>
    </row>
    <row r="9" spans="1:14" ht="16.149999999999999" customHeight="1" thickBot="1" x14ac:dyDescent="0.3">
      <c r="A9" s="62" t="s">
        <v>114</v>
      </c>
      <c r="B9" s="63">
        <v>1974</v>
      </c>
      <c r="C9" s="64">
        <v>4500</v>
      </c>
      <c r="D9" s="63" t="s">
        <v>109</v>
      </c>
      <c r="E9" s="63" t="s">
        <v>115</v>
      </c>
      <c r="F9" s="60" t="s">
        <v>116</v>
      </c>
      <c r="H9" s="74">
        <f t="shared" si="1"/>
        <v>4</v>
      </c>
      <c r="I9" s="74">
        <f t="shared" si="0"/>
        <v>4500</v>
      </c>
      <c r="J9" s="35">
        <f t="shared" si="2"/>
        <v>8.4118326757584114</v>
      </c>
      <c r="L9" s="205" t="s">
        <v>33</v>
      </c>
      <c r="M9" s="206">
        <f>J5-M8*H5</f>
        <v>6.5692077883632205</v>
      </c>
    </row>
    <row r="10" spans="1:14" ht="16.149999999999999" customHeight="1" thickTop="1" x14ac:dyDescent="0.25">
      <c r="A10" s="62" t="s">
        <v>117</v>
      </c>
      <c r="B10" s="63">
        <v>1974</v>
      </c>
      <c r="C10" s="64">
        <v>4100</v>
      </c>
      <c r="D10" s="62" t="s">
        <v>118</v>
      </c>
      <c r="E10" s="63" t="s">
        <v>115</v>
      </c>
      <c r="F10" s="60" t="s">
        <v>119</v>
      </c>
      <c r="H10" s="74">
        <f t="shared" si="1"/>
        <v>4</v>
      </c>
      <c r="I10" s="74">
        <f t="shared" si="0"/>
        <v>4100</v>
      </c>
      <c r="J10" s="35">
        <f t="shared" si="2"/>
        <v>8.3187422526923989</v>
      </c>
    </row>
    <row r="11" spans="1:14" ht="16.149999999999999" customHeight="1" x14ac:dyDescent="0.25">
      <c r="A11" s="62" t="s">
        <v>120</v>
      </c>
      <c r="B11" s="63">
        <v>1974</v>
      </c>
      <c r="C11" s="64">
        <v>5000</v>
      </c>
      <c r="D11" s="62" t="s">
        <v>121</v>
      </c>
      <c r="E11" s="63" t="s">
        <v>122</v>
      </c>
      <c r="F11" s="60" t="s">
        <v>123</v>
      </c>
      <c r="H11" s="74">
        <f t="shared" si="1"/>
        <v>4</v>
      </c>
      <c r="I11" s="74">
        <f t="shared" si="0"/>
        <v>5000</v>
      </c>
      <c r="J11" s="35">
        <f t="shared" si="2"/>
        <v>8.5171931914162382</v>
      </c>
    </row>
    <row r="12" spans="1:14" ht="16.149999999999999" customHeight="1" x14ac:dyDescent="0.25">
      <c r="A12" s="62" t="s">
        <v>124</v>
      </c>
      <c r="B12">
        <v>1974</v>
      </c>
      <c r="C12" s="64">
        <v>8000</v>
      </c>
      <c r="D12" s="62" t="s">
        <v>125</v>
      </c>
      <c r="E12" s="63" t="s">
        <v>126</v>
      </c>
      <c r="F12" s="60"/>
      <c r="H12" s="74">
        <f t="shared" si="1"/>
        <v>4</v>
      </c>
      <c r="I12" s="74">
        <f t="shared" si="0"/>
        <v>8000</v>
      </c>
      <c r="J12" s="35">
        <f t="shared" si="2"/>
        <v>8.987196820661973</v>
      </c>
    </row>
    <row r="13" spans="1:14" ht="16.149999999999999" customHeight="1" x14ac:dyDescent="0.25">
      <c r="A13" s="62" t="s">
        <v>127</v>
      </c>
      <c r="B13" s="63">
        <v>1975</v>
      </c>
      <c r="C13" s="64">
        <v>3510</v>
      </c>
      <c r="D13" s="62" t="s">
        <v>128</v>
      </c>
      <c r="E13" s="63" t="s">
        <v>126</v>
      </c>
      <c r="F13" s="60" t="s">
        <v>129</v>
      </c>
      <c r="H13" s="74">
        <f t="shared" si="1"/>
        <v>5</v>
      </c>
      <c r="I13" s="74">
        <f t="shared" si="0"/>
        <v>3510</v>
      </c>
      <c r="J13" s="35">
        <f t="shared" si="2"/>
        <v>8.1633713164599122</v>
      </c>
    </row>
    <row r="14" spans="1:14" ht="16.149999999999999" customHeight="1" x14ac:dyDescent="0.25">
      <c r="A14" s="62" t="s">
        <v>130</v>
      </c>
      <c r="B14" s="63">
        <v>1976</v>
      </c>
      <c r="C14" s="64">
        <v>6500</v>
      </c>
      <c r="D14" s="63" t="s">
        <v>109</v>
      </c>
      <c r="E14" s="63" t="s">
        <v>131</v>
      </c>
      <c r="F14" s="60" t="s">
        <v>116</v>
      </c>
      <c r="H14" s="74">
        <f t="shared" si="1"/>
        <v>6</v>
      </c>
      <c r="I14" s="74">
        <f t="shared" si="0"/>
        <v>6500</v>
      </c>
      <c r="J14" s="35">
        <f t="shared" si="2"/>
        <v>8.7795574558837277</v>
      </c>
    </row>
    <row r="15" spans="1:14" ht="16.149999999999999" customHeight="1" x14ac:dyDescent="0.25">
      <c r="A15" s="62" t="s">
        <v>132</v>
      </c>
      <c r="B15" s="63">
        <v>1976</v>
      </c>
      <c r="C15" s="64">
        <v>8500</v>
      </c>
      <c r="D15" s="62" t="s">
        <v>133</v>
      </c>
      <c r="E15" s="63" t="s">
        <v>134</v>
      </c>
      <c r="F15" s="60" t="s">
        <v>135</v>
      </c>
      <c r="H15" s="74">
        <f t="shared" si="1"/>
        <v>6</v>
      </c>
      <c r="I15" s="74">
        <f t="shared" si="0"/>
        <v>8500</v>
      </c>
      <c r="J15" s="35">
        <f t="shared" si="2"/>
        <v>9.0478214424784085</v>
      </c>
    </row>
    <row r="16" spans="1:14" ht="16.149999999999999" customHeight="1" x14ac:dyDescent="0.25">
      <c r="A16" s="62" t="s">
        <v>136</v>
      </c>
      <c r="B16" s="63">
        <v>1978</v>
      </c>
      <c r="C16" s="64">
        <v>29000</v>
      </c>
      <c r="D16" s="63" t="s">
        <v>109</v>
      </c>
      <c r="E16" s="63" t="s">
        <v>131</v>
      </c>
      <c r="F16" s="60" t="s">
        <v>137</v>
      </c>
      <c r="H16" s="74">
        <f t="shared" si="1"/>
        <v>8</v>
      </c>
      <c r="I16" s="74">
        <f t="shared" si="0"/>
        <v>29000</v>
      </c>
      <c r="J16" s="35">
        <f t="shared" si="2"/>
        <v>10.275051108968611</v>
      </c>
    </row>
    <row r="17" spans="1:10" ht="16.149999999999999" customHeight="1" x14ac:dyDescent="0.25">
      <c r="A17" s="62" t="s">
        <v>138</v>
      </c>
      <c r="B17" s="63">
        <v>1978</v>
      </c>
      <c r="C17" s="64">
        <v>9000</v>
      </c>
      <c r="D17" s="63" t="s">
        <v>118</v>
      </c>
      <c r="E17" s="63" t="s">
        <v>122</v>
      </c>
      <c r="F17" s="60" t="s">
        <v>129</v>
      </c>
      <c r="H17" s="74">
        <f t="shared" si="1"/>
        <v>8</v>
      </c>
      <c r="I17" s="74">
        <f t="shared" si="0"/>
        <v>9000</v>
      </c>
      <c r="J17" s="35">
        <f t="shared" si="2"/>
        <v>9.1049798563183568</v>
      </c>
    </row>
    <row r="18" spans="1:10" ht="16.149999999999999" customHeight="1" x14ac:dyDescent="0.25">
      <c r="A18" s="62" t="s">
        <v>139</v>
      </c>
      <c r="B18" s="63">
        <v>1979</v>
      </c>
      <c r="C18" s="64">
        <v>29000</v>
      </c>
      <c r="D18" s="63" t="s">
        <v>109</v>
      </c>
      <c r="E18" s="63" t="s">
        <v>131</v>
      </c>
      <c r="F18" s="60" t="s">
        <v>137</v>
      </c>
      <c r="H18" s="74">
        <f t="shared" si="1"/>
        <v>9</v>
      </c>
      <c r="I18" s="74">
        <f t="shared" si="0"/>
        <v>29000</v>
      </c>
      <c r="J18" s="35">
        <f t="shared" si="2"/>
        <v>10.275051108968611</v>
      </c>
    </row>
    <row r="19" spans="1:10" ht="16.149999999999999" customHeight="1" x14ac:dyDescent="0.25">
      <c r="A19" s="62" t="s">
        <v>140</v>
      </c>
      <c r="B19" s="63">
        <v>1979</v>
      </c>
      <c r="C19" s="64">
        <v>68000</v>
      </c>
      <c r="D19" s="63" t="s">
        <v>118</v>
      </c>
      <c r="E19" s="63" t="s">
        <v>141</v>
      </c>
      <c r="F19" s="60" t="s">
        <v>142</v>
      </c>
      <c r="H19" s="74">
        <f t="shared" si="1"/>
        <v>9</v>
      </c>
      <c r="I19" s="74">
        <f t="shared" si="0"/>
        <v>68000</v>
      </c>
      <c r="J19" s="35">
        <f t="shared" si="2"/>
        <v>11.127262984158243</v>
      </c>
    </row>
    <row r="20" spans="1:10" ht="16.149999999999999" customHeight="1" x14ac:dyDescent="0.25">
      <c r="A20" s="62" t="s">
        <v>143</v>
      </c>
      <c r="B20" s="63">
        <v>1981</v>
      </c>
      <c r="C20" s="64">
        <v>11500</v>
      </c>
      <c r="D20" s="63" t="s">
        <v>144</v>
      </c>
      <c r="E20" s="63" t="s">
        <v>131</v>
      </c>
      <c r="F20" s="60" t="s">
        <v>145</v>
      </c>
      <c r="H20" s="74">
        <f t="shared" si="1"/>
        <v>11</v>
      </c>
      <c r="I20" s="74">
        <f t="shared" si="0"/>
        <v>11500</v>
      </c>
      <c r="J20" s="35">
        <f t="shared" si="2"/>
        <v>9.3501023143513411</v>
      </c>
    </row>
    <row r="21" spans="1:10" ht="16.149999999999999" customHeight="1" x14ac:dyDescent="0.25">
      <c r="A21" s="62" t="s">
        <v>146</v>
      </c>
      <c r="B21" s="63">
        <v>1982</v>
      </c>
      <c r="C21" s="64">
        <v>55000</v>
      </c>
      <c r="D21" s="63" t="s">
        <v>109</v>
      </c>
      <c r="E21" s="63" t="s">
        <v>131</v>
      </c>
      <c r="F21" s="60" t="s">
        <v>147</v>
      </c>
      <c r="H21" s="74">
        <f t="shared" si="1"/>
        <v>12</v>
      </c>
      <c r="I21" s="74">
        <f t="shared" si="0"/>
        <v>55000</v>
      </c>
      <c r="J21" s="35">
        <f t="shared" si="2"/>
        <v>10.915088464214607</v>
      </c>
    </row>
    <row r="22" spans="1:10" ht="16.149999999999999" customHeight="1" x14ac:dyDescent="0.25">
      <c r="A22" s="62" t="s">
        <v>148</v>
      </c>
      <c r="B22" s="63">
        <v>1982</v>
      </c>
      <c r="C22" s="64">
        <v>134000</v>
      </c>
      <c r="D22" s="63" t="s">
        <v>109</v>
      </c>
      <c r="E22" s="63" t="s">
        <v>149</v>
      </c>
      <c r="F22" s="60" t="s">
        <v>150</v>
      </c>
      <c r="H22" s="74">
        <f t="shared" si="1"/>
        <v>12</v>
      </c>
      <c r="I22" s="74">
        <f t="shared" si="0"/>
        <v>134000</v>
      </c>
      <c r="J22" s="35">
        <f t="shared" si="2"/>
        <v>11.805595078933049</v>
      </c>
    </row>
    <row r="23" spans="1:10" ht="16.149999999999999" customHeight="1" x14ac:dyDescent="0.25">
      <c r="A23" s="62" t="s">
        <v>151</v>
      </c>
      <c r="B23" s="63">
        <v>1983</v>
      </c>
      <c r="C23" s="64">
        <v>22000</v>
      </c>
      <c r="D23" s="62" t="s">
        <v>144</v>
      </c>
      <c r="E23" s="63"/>
      <c r="F23" s="60" t="s">
        <v>152</v>
      </c>
      <c r="H23" s="74">
        <f t="shared" si="1"/>
        <v>13</v>
      </c>
      <c r="I23" s="74">
        <f t="shared" si="0"/>
        <v>22000</v>
      </c>
      <c r="J23" s="35">
        <f t="shared" si="2"/>
        <v>9.9987977323404529</v>
      </c>
    </row>
    <row r="24" spans="1:10" ht="16.149999999999999" customHeight="1" x14ac:dyDescent="0.25">
      <c r="A24" s="62" t="s">
        <v>153</v>
      </c>
      <c r="B24" s="63">
        <v>1984</v>
      </c>
      <c r="C24" s="64">
        <v>190000</v>
      </c>
      <c r="D24" s="63" t="s">
        <v>118</v>
      </c>
      <c r="E24" s="63" t="s">
        <v>154</v>
      </c>
      <c r="F24" s="60" t="s">
        <v>155</v>
      </c>
      <c r="H24" s="74">
        <f t="shared" si="1"/>
        <v>14</v>
      </c>
      <c r="I24" s="74">
        <f t="shared" si="0"/>
        <v>190000</v>
      </c>
      <c r="J24" s="35">
        <f t="shared" si="2"/>
        <v>12.154779351142624</v>
      </c>
    </row>
    <row r="25" spans="1:10" ht="16.149999999999999" customHeight="1" x14ac:dyDescent="0.25">
      <c r="A25" s="62" t="s">
        <v>156</v>
      </c>
      <c r="B25" s="63">
        <v>1985</v>
      </c>
      <c r="C25" s="64">
        <v>25000</v>
      </c>
      <c r="D25" s="62" t="s">
        <v>157</v>
      </c>
      <c r="E25" s="63" t="s">
        <v>131</v>
      </c>
      <c r="F25" s="60" t="s">
        <v>158</v>
      </c>
      <c r="H25" s="74">
        <f t="shared" si="1"/>
        <v>15</v>
      </c>
      <c r="I25" s="74">
        <f t="shared" si="0"/>
        <v>25000</v>
      </c>
      <c r="J25" s="35">
        <f t="shared" si="2"/>
        <v>10.126631103850338</v>
      </c>
    </row>
    <row r="26" spans="1:10" ht="16.149999999999999" customHeight="1" x14ac:dyDescent="0.25">
      <c r="A26" s="62" t="s">
        <v>159</v>
      </c>
      <c r="B26" s="63">
        <v>1985</v>
      </c>
      <c r="C26" s="64">
        <v>275000</v>
      </c>
      <c r="D26" s="63" t="s">
        <v>109</v>
      </c>
      <c r="E26" s="63" t="s">
        <v>149</v>
      </c>
      <c r="F26" s="60" t="s">
        <v>160</v>
      </c>
      <c r="H26" s="74">
        <f t="shared" si="1"/>
        <v>15</v>
      </c>
      <c r="I26" s="74">
        <f t="shared" si="0"/>
        <v>275000</v>
      </c>
      <c r="J26" s="35">
        <f t="shared" si="2"/>
        <v>12.524526376648708</v>
      </c>
    </row>
    <row r="27" spans="1:10" ht="16.149999999999999" customHeight="1" x14ac:dyDescent="0.25">
      <c r="A27" s="63" t="s">
        <v>161</v>
      </c>
      <c r="B27">
        <v>1985</v>
      </c>
      <c r="C27" s="64">
        <v>16000</v>
      </c>
      <c r="D27" s="62" t="s">
        <v>162</v>
      </c>
      <c r="E27" t="s">
        <v>131</v>
      </c>
      <c r="F27" s="60"/>
      <c r="H27" s="74">
        <f t="shared" si="1"/>
        <v>15</v>
      </c>
      <c r="I27" s="74">
        <f t="shared" si="0"/>
        <v>16000</v>
      </c>
      <c r="J27" s="35">
        <f t="shared" si="2"/>
        <v>9.6803440012219184</v>
      </c>
    </row>
    <row r="28" spans="1:10" ht="16.149999999999999" customHeight="1" x14ac:dyDescent="0.25">
      <c r="A28" s="62" t="s">
        <v>163</v>
      </c>
      <c r="B28" s="63">
        <v>1986</v>
      </c>
      <c r="C28" s="64">
        <v>30000</v>
      </c>
      <c r="D28" s="63" t="s">
        <v>157</v>
      </c>
      <c r="E28" s="63" t="s">
        <v>154</v>
      </c>
      <c r="F28" s="60" t="s">
        <v>164</v>
      </c>
      <c r="H28" s="74">
        <f t="shared" si="1"/>
        <v>16</v>
      </c>
      <c r="I28" s="74">
        <f t="shared" si="0"/>
        <v>30000</v>
      </c>
      <c r="J28" s="35">
        <f t="shared" si="2"/>
        <v>10.308952660644293</v>
      </c>
    </row>
    <row r="29" spans="1:10" ht="16.149999999999999" customHeight="1" x14ac:dyDescent="0.25">
      <c r="A29" s="63" t="s">
        <v>165</v>
      </c>
      <c r="B29" s="63">
        <v>1987</v>
      </c>
      <c r="C29" s="64">
        <v>553000</v>
      </c>
      <c r="D29" s="63" t="s">
        <v>125</v>
      </c>
      <c r="E29" s="63"/>
      <c r="F29" s="60"/>
      <c r="H29" s="74">
        <f t="shared" si="1"/>
        <v>17</v>
      </c>
      <c r="I29" s="74">
        <f t="shared" si="0"/>
        <v>553000</v>
      </c>
      <c r="J29" s="35">
        <f t="shared" si="2"/>
        <v>13.223113280504473</v>
      </c>
    </row>
    <row r="30" spans="1:10" ht="16.149999999999999" customHeight="1" x14ac:dyDescent="0.25">
      <c r="A30" s="63" t="s">
        <v>166</v>
      </c>
      <c r="B30" s="63">
        <v>1988</v>
      </c>
      <c r="C30" s="64">
        <v>180000</v>
      </c>
      <c r="D30" s="63" t="s">
        <v>167</v>
      </c>
      <c r="E30" s="63" t="s">
        <v>149</v>
      </c>
      <c r="F30" s="60" t="s">
        <v>168</v>
      </c>
      <c r="H30" s="74">
        <f t="shared" si="1"/>
        <v>18</v>
      </c>
      <c r="I30" s="74">
        <f t="shared" si="0"/>
        <v>180000</v>
      </c>
      <c r="J30" s="35">
        <f t="shared" si="2"/>
        <v>12.100712129872347</v>
      </c>
    </row>
    <row r="31" spans="1:10" ht="16.149999999999999" customHeight="1" x14ac:dyDescent="0.25">
      <c r="A31" s="62" t="s">
        <v>169</v>
      </c>
      <c r="B31" s="63">
        <v>1988</v>
      </c>
      <c r="C31" s="64">
        <v>250000</v>
      </c>
      <c r="D31" s="63" t="s">
        <v>109</v>
      </c>
      <c r="E31" s="63" t="s">
        <v>170</v>
      </c>
      <c r="F31" s="60"/>
      <c r="H31" s="74">
        <f t="shared" si="1"/>
        <v>18</v>
      </c>
      <c r="I31" s="74">
        <f t="shared" si="0"/>
        <v>250000</v>
      </c>
      <c r="J31" s="35">
        <f t="shared" si="2"/>
        <v>12.429216196844383</v>
      </c>
    </row>
    <row r="32" spans="1:10" ht="16.149999999999999" customHeight="1" x14ac:dyDescent="0.25">
      <c r="A32" s="62" t="s">
        <v>171</v>
      </c>
      <c r="B32" s="63">
        <v>1989</v>
      </c>
      <c r="C32" s="64">
        <v>300000</v>
      </c>
      <c r="D32" s="63" t="s">
        <v>157</v>
      </c>
      <c r="E32" s="63"/>
      <c r="F32" s="60"/>
      <c r="H32" s="74">
        <f t="shared" si="1"/>
        <v>19</v>
      </c>
      <c r="I32" s="74">
        <f t="shared" si="0"/>
        <v>300000</v>
      </c>
      <c r="J32" s="35">
        <f t="shared" si="2"/>
        <v>12.611537753638338</v>
      </c>
    </row>
    <row r="33" spans="1:10" ht="16.149999999999999" customHeight="1" x14ac:dyDescent="0.25">
      <c r="A33" s="62" t="s">
        <v>172</v>
      </c>
      <c r="B33" s="63">
        <v>1989</v>
      </c>
      <c r="C33" s="64">
        <v>1180235</v>
      </c>
      <c r="D33" s="63" t="s">
        <v>109</v>
      </c>
      <c r="E33" s="63" t="s">
        <v>173</v>
      </c>
      <c r="F33" s="60" t="s">
        <v>174</v>
      </c>
      <c r="H33" s="74">
        <f t="shared" si="1"/>
        <v>19</v>
      </c>
      <c r="I33" s="74">
        <f t="shared" si="0"/>
        <v>1180235</v>
      </c>
      <c r="J33" s="35">
        <f t="shared" si="2"/>
        <v>13.981224129155985</v>
      </c>
    </row>
    <row r="34" spans="1:10" ht="16.149999999999999" customHeight="1" x14ac:dyDescent="0.25">
      <c r="A34" s="62" t="s">
        <v>175</v>
      </c>
      <c r="B34" s="63">
        <v>1991</v>
      </c>
      <c r="C34" s="64">
        <v>35000</v>
      </c>
      <c r="D34" s="62" t="s">
        <v>176</v>
      </c>
      <c r="E34" s="63"/>
      <c r="F34" s="60"/>
      <c r="H34" s="74">
        <f t="shared" si="1"/>
        <v>21</v>
      </c>
      <c r="I34" s="74">
        <f t="shared" si="0"/>
        <v>35000</v>
      </c>
      <c r="J34" s="35">
        <f t="shared" si="2"/>
        <v>10.46310334047155</v>
      </c>
    </row>
    <row r="35" spans="1:10" ht="16.149999999999999" customHeight="1" x14ac:dyDescent="0.25">
      <c r="A35" s="62" t="s">
        <v>177</v>
      </c>
      <c r="B35" s="63">
        <v>1991</v>
      </c>
      <c r="C35" s="64">
        <v>1350000</v>
      </c>
      <c r="D35" s="62" t="s">
        <v>178</v>
      </c>
      <c r="E35" s="63" t="s">
        <v>179</v>
      </c>
      <c r="F35" s="60" t="s">
        <v>180</v>
      </c>
      <c r="H35" s="74">
        <f t="shared" si="1"/>
        <v>21</v>
      </c>
      <c r="I35" s="74">
        <f t="shared" si="0"/>
        <v>1350000</v>
      </c>
      <c r="J35" s="35">
        <f t="shared" si="2"/>
        <v>14.115615150414612</v>
      </c>
    </row>
    <row r="36" spans="1:10" ht="16.149999999999999" customHeight="1" x14ac:dyDescent="0.25">
      <c r="A36" s="62" t="s">
        <v>181</v>
      </c>
      <c r="B36" s="63">
        <v>1993</v>
      </c>
      <c r="C36" s="64">
        <v>3100000</v>
      </c>
      <c r="D36" s="63" t="s">
        <v>109</v>
      </c>
      <c r="E36" s="63" t="s">
        <v>182</v>
      </c>
      <c r="F36" s="60" t="s">
        <v>183</v>
      </c>
      <c r="H36" s="74">
        <f t="shared" si="1"/>
        <v>23</v>
      </c>
      <c r="I36" s="74">
        <f t="shared" si="0"/>
        <v>3100000</v>
      </c>
      <c r="J36" s="35">
        <f t="shared" si="2"/>
        <v>14.946912669455374</v>
      </c>
    </row>
    <row r="37" spans="1:10" ht="16.149999999999999" customHeight="1" x14ac:dyDescent="0.25">
      <c r="A37" s="62" t="s">
        <v>184</v>
      </c>
      <c r="B37" s="63">
        <v>1994</v>
      </c>
      <c r="C37" s="64">
        <v>578977</v>
      </c>
      <c r="D37" s="63" t="s">
        <v>176</v>
      </c>
      <c r="E37" s="63"/>
      <c r="F37" s="60" t="s">
        <v>185</v>
      </c>
      <c r="H37" s="74">
        <f t="shared" si="1"/>
        <v>24</v>
      </c>
      <c r="I37" s="74">
        <f t="shared" si="0"/>
        <v>578977</v>
      </c>
      <c r="J37" s="35">
        <f t="shared" si="2"/>
        <v>13.269018032104642</v>
      </c>
    </row>
    <row r="38" spans="1:10" ht="16.149999999999999" customHeight="1" x14ac:dyDescent="0.25">
      <c r="A38" s="62" t="s">
        <v>186</v>
      </c>
      <c r="B38" s="63">
        <v>1995</v>
      </c>
      <c r="C38" s="64">
        <v>5500000</v>
      </c>
      <c r="D38" s="63" t="s">
        <v>109</v>
      </c>
      <c r="E38" s="63" t="s">
        <v>187</v>
      </c>
      <c r="F38" s="60" t="s">
        <v>188</v>
      </c>
      <c r="H38" s="74">
        <f t="shared" si="1"/>
        <v>25</v>
      </c>
      <c r="I38" s="74">
        <f t="shared" si="0"/>
        <v>5500000</v>
      </c>
      <c r="J38" s="35">
        <f t="shared" si="2"/>
        <v>15.520258650202699</v>
      </c>
    </row>
    <row r="39" spans="1:10" ht="16.149999999999999" customHeight="1" x14ac:dyDescent="0.25">
      <c r="A39" s="62" t="s">
        <v>189</v>
      </c>
      <c r="B39" s="63">
        <v>1995</v>
      </c>
      <c r="C39" s="64">
        <v>2500000</v>
      </c>
      <c r="D39" s="63" t="s">
        <v>190</v>
      </c>
      <c r="E39" s="63" t="s">
        <v>191</v>
      </c>
      <c r="F39" s="60" t="s">
        <v>158</v>
      </c>
      <c r="H39" s="74">
        <f t="shared" si="1"/>
        <v>25</v>
      </c>
      <c r="I39" s="74">
        <f t="shared" si="0"/>
        <v>2500000</v>
      </c>
      <c r="J39" s="35">
        <f t="shared" si="2"/>
        <v>14.73180128983843</v>
      </c>
    </row>
    <row r="40" spans="1:10" ht="16.149999999999999" customHeight="1" x14ac:dyDescent="0.25">
      <c r="A40" s="62" t="s">
        <v>192</v>
      </c>
      <c r="B40" s="63">
        <v>1996</v>
      </c>
      <c r="C40" s="64">
        <v>4300000</v>
      </c>
      <c r="D40" s="62" t="s">
        <v>193</v>
      </c>
      <c r="E40" s="63" t="s">
        <v>187</v>
      </c>
      <c r="F40" s="60" t="s">
        <v>194</v>
      </c>
      <c r="H40" s="74">
        <f t="shared" si="1"/>
        <v>26</v>
      </c>
      <c r="I40" s="74">
        <f t="shared" si="0"/>
        <v>4300000</v>
      </c>
      <c r="J40" s="35">
        <f t="shared" si="2"/>
        <v>15.274125580663791</v>
      </c>
    </row>
    <row r="41" spans="1:10" ht="16.149999999999999" customHeight="1" x14ac:dyDescent="0.25">
      <c r="A41" s="62" t="s">
        <v>195</v>
      </c>
      <c r="B41" s="63">
        <v>1997</v>
      </c>
      <c r="C41" s="64">
        <v>8800000</v>
      </c>
      <c r="D41" s="63" t="s">
        <v>193</v>
      </c>
      <c r="E41" s="63" t="s">
        <v>191</v>
      </c>
      <c r="F41" s="60" t="s">
        <v>196</v>
      </c>
      <c r="H41" s="74">
        <f t="shared" si="1"/>
        <v>27</v>
      </c>
      <c r="I41" s="74">
        <f t="shared" si="0"/>
        <v>8800000</v>
      </c>
      <c r="J41" s="35">
        <f t="shared" si="2"/>
        <v>15.990262279448435</v>
      </c>
    </row>
    <row r="42" spans="1:10" ht="16.149999999999999" customHeight="1" x14ac:dyDescent="0.25">
      <c r="A42" s="62" t="s">
        <v>197</v>
      </c>
      <c r="B42" s="63">
        <v>1997</v>
      </c>
      <c r="C42" s="64">
        <v>7500000</v>
      </c>
      <c r="D42" s="63" t="s">
        <v>109</v>
      </c>
      <c r="E42" s="63" t="s">
        <v>191</v>
      </c>
      <c r="F42" s="60" t="s">
        <v>198</v>
      </c>
      <c r="H42" s="74">
        <f t="shared" si="1"/>
        <v>27</v>
      </c>
      <c r="I42" s="74">
        <f t="shared" si="0"/>
        <v>7500000</v>
      </c>
      <c r="J42" s="35">
        <f t="shared" si="2"/>
        <v>15.830413578506539</v>
      </c>
    </row>
    <row r="43" spans="1:10" ht="16.149999999999999" customHeight="1" x14ac:dyDescent="0.25">
      <c r="A43" s="62" t="s">
        <v>199</v>
      </c>
      <c r="B43" s="63">
        <v>1998</v>
      </c>
      <c r="C43" s="64">
        <v>7500000</v>
      </c>
      <c r="D43" s="63" t="s">
        <v>109</v>
      </c>
      <c r="E43" s="63" t="s">
        <v>200</v>
      </c>
      <c r="F43" s="60" t="s">
        <v>201</v>
      </c>
      <c r="H43" s="74">
        <f t="shared" si="1"/>
        <v>28</v>
      </c>
      <c r="I43" s="74">
        <f t="shared" si="0"/>
        <v>7500000</v>
      </c>
      <c r="J43" s="35">
        <f t="shared" si="2"/>
        <v>15.830413578506539</v>
      </c>
    </row>
    <row r="44" spans="1:10" ht="16.149999999999999" customHeight="1" x14ac:dyDescent="0.25">
      <c r="A44" s="62" t="s">
        <v>202</v>
      </c>
      <c r="B44" s="63">
        <v>1999</v>
      </c>
      <c r="C44" s="64">
        <v>21300000</v>
      </c>
      <c r="D44" s="63" t="s">
        <v>193</v>
      </c>
      <c r="E44" s="63" t="s">
        <v>200</v>
      </c>
      <c r="F44" s="60" t="s">
        <v>203</v>
      </c>
      <c r="H44" s="74">
        <f t="shared" si="1"/>
        <v>29</v>
      </c>
      <c r="I44" s="74">
        <f t="shared" si="0"/>
        <v>21300000</v>
      </c>
      <c r="J44" s="35">
        <f t="shared" si="2"/>
        <v>16.874217630679652</v>
      </c>
    </row>
    <row r="45" spans="1:10" ht="16.149999999999999" customHeight="1" x14ac:dyDescent="0.25">
      <c r="A45" s="62" t="s">
        <v>204</v>
      </c>
      <c r="B45" s="63">
        <v>1999</v>
      </c>
      <c r="C45" s="64">
        <v>22000000</v>
      </c>
      <c r="D45" s="63" t="s">
        <v>193</v>
      </c>
      <c r="E45" s="63" t="s">
        <v>200</v>
      </c>
      <c r="F45" s="60" t="s">
        <v>205</v>
      </c>
      <c r="H45" s="74">
        <f t="shared" si="1"/>
        <v>29</v>
      </c>
      <c r="I45" s="74">
        <f t="shared" si="0"/>
        <v>22000000</v>
      </c>
      <c r="J45" s="35">
        <f t="shared" si="2"/>
        <v>16.90655301132259</v>
      </c>
    </row>
    <row r="46" spans="1:10" ht="16.149999999999999" customHeight="1" x14ac:dyDescent="0.25">
      <c r="A46" s="62" t="s">
        <v>206</v>
      </c>
      <c r="B46" s="63">
        <v>1999</v>
      </c>
      <c r="C46" s="64">
        <v>111000</v>
      </c>
      <c r="D46" s="63" t="s">
        <v>157</v>
      </c>
      <c r="E46" s="63" t="s">
        <v>191</v>
      </c>
      <c r="F46" s="60" t="s">
        <v>207</v>
      </c>
      <c r="H46" s="74">
        <f t="shared" si="1"/>
        <v>29</v>
      </c>
      <c r="I46" s="74">
        <f t="shared" si="0"/>
        <v>111000</v>
      </c>
      <c r="J46" s="35">
        <f t="shared" si="2"/>
        <v>11.617285480294472</v>
      </c>
    </row>
    <row r="47" spans="1:10" ht="16.149999999999999" customHeight="1" x14ac:dyDescent="0.25">
      <c r="A47" s="62" t="s">
        <v>208</v>
      </c>
      <c r="B47" s="63">
        <v>1999</v>
      </c>
      <c r="C47" s="64">
        <v>27400000</v>
      </c>
      <c r="D47" s="63" t="s">
        <v>109</v>
      </c>
      <c r="E47" s="63" t="s">
        <v>209</v>
      </c>
      <c r="F47" s="60" t="s">
        <v>210</v>
      </c>
      <c r="H47" s="74">
        <f t="shared" si="1"/>
        <v>29</v>
      </c>
      <c r="I47" s="74">
        <f t="shared" si="0"/>
        <v>27400000</v>
      </c>
      <c r="J47" s="35">
        <f t="shared" si="2"/>
        <v>17.126053571358298</v>
      </c>
    </row>
    <row r="48" spans="1:10" ht="16.149999999999999" customHeight="1" x14ac:dyDescent="0.25">
      <c r="A48" s="62" t="s">
        <v>211</v>
      </c>
      <c r="B48" s="63">
        <v>1999</v>
      </c>
      <c r="C48" s="64">
        <v>9500000</v>
      </c>
      <c r="D48" s="63" t="s">
        <v>109</v>
      </c>
      <c r="E48" s="63" t="s">
        <v>200</v>
      </c>
      <c r="F48" s="60" t="s">
        <v>212</v>
      </c>
      <c r="H48" s="74">
        <f t="shared" si="1"/>
        <v>29</v>
      </c>
      <c r="I48" s="74">
        <f t="shared" si="0"/>
        <v>9500000</v>
      </c>
      <c r="J48" s="35">
        <f t="shared" si="2"/>
        <v>16.066802356570768</v>
      </c>
    </row>
    <row r="49" spans="1:10" ht="16.149999999999999" customHeight="1" x14ac:dyDescent="0.25">
      <c r="A49" s="62" t="s">
        <v>213</v>
      </c>
      <c r="B49" s="63">
        <v>2000</v>
      </c>
      <c r="C49" s="64">
        <v>42000000</v>
      </c>
      <c r="D49" s="63" t="s">
        <v>109</v>
      </c>
      <c r="E49" s="63" t="s">
        <v>209</v>
      </c>
      <c r="F49" s="60" t="s">
        <v>214</v>
      </c>
      <c r="H49" s="74">
        <f t="shared" si="1"/>
        <v>30</v>
      </c>
      <c r="I49" s="74">
        <f t="shared" si="0"/>
        <v>42000000</v>
      </c>
      <c r="J49" s="35">
        <f t="shared" si="2"/>
        <v>17.553180176247643</v>
      </c>
    </row>
    <row r="50" spans="1:10" ht="16.149999999999999" customHeight="1" x14ac:dyDescent="0.25">
      <c r="A50" s="62" t="s">
        <v>215</v>
      </c>
      <c r="B50" s="63">
        <v>2000</v>
      </c>
      <c r="C50" s="64">
        <v>21000000</v>
      </c>
      <c r="D50" s="63" t="s">
        <v>109</v>
      </c>
      <c r="E50" s="63" t="s">
        <v>209</v>
      </c>
      <c r="F50" s="60" t="s">
        <v>216</v>
      </c>
      <c r="H50" s="74">
        <f t="shared" si="1"/>
        <v>30</v>
      </c>
      <c r="I50" s="74">
        <f t="shared" si="0"/>
        <v>21000000</v>
      </c>
      <c r="J50" s="35">
        <f t="shared" si="2"/>
        <v>16.860032995687696</v>
      </c>
    </row>
    <row r="51" spans="1:10" ht="16.149999999999999" customHeight="1" x14ac:dyDescent="0.25">
      <c r="A51" s="62" t="s">
        <v>217</v>
      </c>
      <c r="B51" s="63">
        <v>2001</v>
      </c>
      <c r="C51" s="64">
        <v>45000000</v>
      </c>
      <c r="D51" s="63" t="s">
        <v>109</v>
      </c>
      <c r="E51" s="63" t="s">
        <v>218</v>
      </c>
      <c r="F51" s="60" t="s">
        <v>219</v>
      </c>
      <c r="H51" s="74">
        <f t="shared" si="1"/>
        <v>31</v>
      </c>
      <c r="I51" s="74">
        <f t="shared" si="0"/>
        <v>45000000</v>
      </c>
      <c r="J51" s="35">
        <f t="shared" si="2"/>
        <v>17.622173047734595</v>
      </c>
    </row>
    <row r="52" spans="1:10" ht="16.149999999999999" customHeight="1" x14ac:dyDescent="0.25">
      <c r="A52" s="62" t="s">
        <v>220</v>
      </c>
      <c r="B52" s="63">
        <v>2002</v>
      </c>
      <c r="C52" s="64">
        <v>220000000</v>
      </c>
      <c r="D52" s="63" t="s">
        <v>109</v>
      </c>
      <c r="E52" s="63" t="s">
        <v>209</v>
      </c>
      <c r="F52" s="60" t="s">
        <v>221</v>
      </c>
      <c r="H52" s="74">
        <f t="shared" si="1"/>
        <v>32</v>
      </c>
      <c r="I52" s="74">
        <f t="shared" si="0"/>
        <v>220000000</v>
      </c>
      <c r="J52" s="35">
        <f t="shared" si="2"/>
        <v>19.209138104316636</v>
      </c>
    </row>
    <row r="53" spans="1:10" ht="16.149999999999999" customHeight="1" x14ac:dyDescent="0.25">
      <c r="A53" s="62" t="s">
        <v>222</v>
      </c>
      <c r="B53" s="63">
        <v>2002</v>
      </c>
      <c r="C53" s="64">
        <v>55000000</v>
      </c>
      <c r="D53" s="63" t="s">
        <v>109</v>
      </c>
      <c r="E53" s="63" t="s">
        <v>218</v>
      </c>
      <c r="F53" s="60" t="s">
        <v>223</v>
      </c>
      <c r="H53" s="74">
        <f t="shared" si="1"/>
        <v>32</v>
      </c>
      <c r="I53" s="74">
        <f t="shared" si="0"/>
        <v>55000000</v>
      </c>
      <c r="J53" s="35">
        <f t="shared" si="2"/>
        <v>17.822843743196746</v>
      </c>
    </row>
    <row r="54" spans="1:10" ht="16.149999999999999" customHeight="1" x14ac:dyDescent="0.25">
      <c r="A54" s="62" t="s">
        <v>224</v>
      </c>
      <c r="B54" s="63">
        <v>2003</v>
      </c>
      <c r="C54" s="64">
        <v>105900000</v>
      </c>
      <c r="D54" s="63" t="s">
        <v>193</v>
      </c>
      <c r="E54" s="63" t="s">
        <v>218</v>
      </c>
      <c r="F54" s="60" t="s">
        <v>225</v>
      </c>
      <c r="H54" s="74">
        <f t="shared" si="1"/>
        <v>33</v>
      </c>
      <c r="I54" s="74">
        <f t="shared" si="0"/>
        <v>105900000</v>
      </c>
      <c r="J54" s="35">
        <f t="shared" si="2"/>
        <v>18.478005810571634</v>
      </c>
    </row>
    <row r="55" spans="1:10" ht="16.149999999999999" customHeight="1" x14ac:dyDescent="0.25">
      <c r="A55" s="62" t="s">
        <v>226</v>
      </c>
      <c r="B55" s="63">
        <v>2003</v>
      </c>
      <c r="C55" s="64">
        <v>54300000</v>
      </c>
      <c r="D55" s="63" t="s">
        <v>193</v>
      </c>
      <c r="E55" s="63" t="s">
        <v>218</v>
      </c>
      <c r="F55" s="60" t="s">
        <v>227</v>
      </c>
      <c r="H55" s="74">
        <f t="shared" si="1"/>
        <v>33</v>
      </c>
      <c r="I55" s="74">
        <f t="shared" si="0"/>
        <v>54300000</v>
      </c>
      <c r="J55" s="35">
        <f t="shared" si="2"/>
        <v>17.810034784904165</v>
      </c>
    </row>
    <row r="56" spans="1:10" ht="16.149999999999999" customHeight="1" x14ac:dyDescent="0.25">
      <c r="A56" s="62" t="s">
        <v>228</v>
      </c>
      <c r="B56" s="63">
        <v>2003</v>
      </c>
      <c r="C56" s="64">
        <v>410000000</v>
      </c>
      <c r="D56" s="63" t="s">
        <v>109</v>
      </c>
      <c r="E56" s="63" t="s">
        <v>218</v>
      </c>
      <c r="F56" s="60" t="s">
        <v>229</v>
      </c>
      <c r="H56" s="74">
        <f t="shared" si="1"/>
        <v>33</v>
      </c>
      <c r="I56" s="74">
        <f t="shared" si="0"/>
        <v>410000000</v>
      </c>
      <c r="J56" s="35">
        <f t="shared" si="2"/>
        <v>19.831667717662629</v>
      </c>
    </row>
    <row r="57" spans="1:10" ht="16.149999999999999" customHeight="1" x14ac:dyDescent="0.25">
      <c r="A57" s="63" t="s">
        <v>230</v>
      </c>
      <c r="B57" s="63">
        <v>2004</v>
      </c>
      <c r="C57" s="64">
        <v>592000000</v>
      </c>
      <c r="D57" s="63" t="s">
        <v>109</v>
      </c>
      <c r="E57" s="63" t="s">
        <v>218</v>
      </c>
      <c r="F57" s="60" t="s">
        <v>231</v>
      </c>
      <c r="H57" s="74">
        <f t="shared" si="1"/>
        <v>34</v>
      </c>
      <c r="I57" s="74">
        <f t="shared" si="0"/>
        <v>592000000</v>
      </c>
      <c r="J57" s="35">
        <f t="shared" si="2"/>
        <v>20.199017192848281</v>
      </c>
    </row>
    <row r="58" spans="1:10" ht="16.149999999999999" customHeight="1" x14ac:dyDescent="0.25">
      <c r="A58" s="62" t="s">
        <v>232</v>
      </c>
      <c r="B58" s="63">
        <v>2004</v>
      </c>
      <c r="C58" s="64">
        <v>112000000</v>
      </c>
      <c r="D58" s="63" t="s">
        <v>109</v>
      </c>
      <c r="E58" s="63" t="s">
        <v>233</v>
      </c>
      <c r="F58" s="60" t="s">
        <v>234</v>
      </c>
      <c r="H58" s="74">
        <f t="shared" si="1"/>
        <v>34</v>
      </c>
      <c r="I58" s="74">
        <f t="shared" si="0"/>
        <v>112000000</v>
      </c>
      <c r="J58" s="35">
        <f t="shared" si="2"/>
        <v>18.534009429259367</v>
      </c>
    </row>
    <row r="59" spans="1:10" ht="16.149999999999999" customHeight="1" x14ac:dyDescent="0.25">
      <c r="A59" s="62" t="s">
        <v>235</v>
      </c>
      <c r="B59" s="63">
        <v>2005</v>
      </c>
      <c r="C59" s="64">
        <v>169000000</v>
      </c>
      <c r="D59" s="63" t="s">
        <v>109</v>
      </c>
      <c r="E59" s="63" t="s">
        <v>233</v>
      </c>
      <c r="F59" s="60" t="s">
        <v>236</v>
      </c>
      <c r="H59" s="74">
        <f t="shared" si="1"/>
        <v>35</v>
      </c>
      <c r="I59" s="74">
        <f t="shared" si="0"/>
        <v>169000000</v>
      </c>
      <c r="J59" s="35">
        <f t="shared" si="2"/>
        <v>18.945409272887346</v>
      </c>
    </row>
    <row r="60" spans="1:10" ht="16.149999999999999" customHeight="1" x14ac:dyDescent="0.25">
      <c r="A60" s="62" t="s">
        <v>237</v>
      </c>
      <c r="B60" s="63">
        <v>2005</v>
      </c>
      <c r="C60" s="64">
        <v>228000000</v>
      </c>
      <c r="D60" s="63" t="s">
        <v>109</v>
      </c>
      <c r="E60" s="63" t="s">
        <v>233</v>
      </c>
      <c r="F60" s="60" t="s">
        <v>238</v>
      </c>
      <c r="H60" s="74">
        <f t="shared" si="1"/>
        <v>35</v>
      </c>
      <c r="I60" s="74">
        <f t="shared" si="0"/>
        <v>228000000</v>
      </c>
      <c r="J60" s="35">
        <f t="shared" si="2"/>
        <v>19.244856186918714</v>
      </c>
    </row>
    <row r="61" spans="1:10" ht="16.149999999999999" customHeight="1" x14ac:dyDescent="0.25">
      <c r="A61" s="62" t="s">
        <v>239</v>
      </c>
      <c r="B61" s="63">
        <v>2006</v>
      </c>
      <c r="C61" s="64">
        <v>241000000</v>
      </c>
      <c r="D61" s="63" t="s">
        <v>240</v>
      </c>
      <c r="E61" s="63" t="s">
        <v>233</v>
      </c>
      <c r="F61" s="60" t="s">
        <v>241</v>
      </c>
      <c r="H61" s="74">
        <f t="shared" si="1"/>
        <v>36</v>
      </c>
      <c r="I61" s="74">
        <f t="shared" si="0"/>
        <v>241000000</v>
      </c>
      <c r="J61" s="35">
        <f t="shared" si="2"/>
        <v>19.30030749145493</v>
      </c>
    </row>
    <row r="62" spans="1:10" ht="16.149999999999999" customHeight="1" x14ac:dyDescent="0.25">
      <c r="A62" s="62" t="s">
        <v>242</v>
      </c>
      <c r="B62" s="63">
        <v>2006</v>
      </c>
      <c r="C62" s="64">
        <v>291000000</v>
      </c>
      <c r="D62" s="63" t="s">
        <v>109</v>
      </c>
      <c r="E62" s="63" t="s">
        <v>243</v>
      </c>
      <c r="F62" s="60" t="s">
        <v>236</v>
      </c>
      <c r="H62" s="74">
        <f t="shared" si="1"/>
        <v>36</v>
      </c>
      <c r="I62" s="74">
        <f t="shared" si="0"/>
        <v>291000000</v>
      </c>
      <c r="J62" s="35">
        <f t="shared" si="2"/>
        <v>19.488833825135767</v>
      </c>
    </row>
    <row r="63" spans="1:10" ht="16.149999999999999" customHeight="1" x14ac:dyDescent="0.25">
      <c r="A63" s="62" t="s">
        <v>244</v>
      </c>
      <c r="B63" s="63">
        <v>2006</v>
      </c>
      <c r="C63" s="64">
        <v>1700000000</v>
      </c>
      <c r="D63" s="63" t="s">
        <v>109</v>
      </c>
      <c r="E63" s="63" t="s">
        <v>233</v>
      </c>
      <c r="F63" s="60" t="s">
        <v>245</v>
      </c>
      <c r="H63" s="74">
        <f t="shared" si="1"/>
        <v>36</v>
      </c>
      <c r="I63" s="74">
        <f t="shared" si="0"/>
        <v>1700000000</v>
      </c>
      <c r="J63" s="35">
        <f t="shared" si="2"/>
        <v>21.253894088008582</v>
      </c>
    </row>
    <row r="64" spans="1:10" ht="16.149999999999999" customHeight="1" x14ac:dyDescent="0.25">
      <c r="A64" s="62" t="s">
        <v>246</v>
      </c>
      <c r="B64" s="63">
        <v>2006</v>
      </c>
      <c r="C64" s="64">
        <v>184000000</v>
      </c>
      <c r="D64" s="63" t="s">
        <v>109</v>
      </c>
      <c r="E64" s="63" t="s">
        <v>243</v>
      </c>
      <c r="F64" s="60" t="s">
        <v>247</v>
      </c>
      <c r="H64" s="74">
        <f t="shared" si="1"/>
        <v>36</v>
      </c>
      <c r="I64" s="74">
        <f t="shared" si="0"/>
        <v>184000000</v>
      </c>
      <c r="J64" s="35">
        <f t="shared" si="2"/>
        <v>19.030446315573261</v>
      </c>
    </row>
    <row r="65" spans="1:10" ht="16.149999999999999" customHeight="1" x14ac:dyDescent="0.25">
      <c r="A65" s="62" t="s">
        <v>248</v>
      </c>
      <c r="B65" s="63">
        <v>2006</v>
      </c>
      <c r="C65" s="64">
        <v>362000000</v>
      </c>
      <c r="D65" s="63" t="s">
        <v>109</v>
      </c>
      <c r="E65" s="63" t="s">
        <v>243</v>
      </c>
      <c r="F65" s="60" t="s">
        <v>196</v>
      </c>
      <c r="H65" s="74">
        <f t="shared" si="1"/>
        <v>36</v>
      </c>
      <c r="I65" s="74">
        <f t="shared" si="0"/>
        <v>362000000</v>
      </c>
      <c r="J65" s="35">
        <f t="shared" si="2"/>
        <v>19.707154769790044</v>
      </c>
    </row>
    <row r="66" spans="1:10" ht="16.149999999999999" customHeight="1" x14ac:dyDescent="0.25">
      <c r="A66" s="62" t="s">
        <v>249</v>
      </c>
      <c r="B66" s="63">
        <v>2007</v>
      </c>
      <c r="C66" s="64">
        <v>463000000</v>
      </c>
      <c r="D66" s="63" t="s">
        <v>193</v>
      </c>
      <c r="E66" s="63" t="s">
        <v>243</v>
      </c>
      <c r="F66" s="60" t="s">
        <v>250</v>
      </c>
      <c r="H66" s="74">
        <f t="shared" si="1"/>
        <v>37</v>
      </c>
      <c r="I66" s="74">
        <f t="shared" si="0"/>
        <v>463000000</v>
      </c>
      <c r="J66" s="35">
        <f t="shared" si="2"/>
        <v>19.953237612050508</v>
      </c>
    </row>
    <row r="67" spans="1:10" ht="16.149999999999999" customHeight="1" x14ac:dyDescent="0.25">
      <c r="A67" s="62" t="s">
        <v>251</v>
      </c>
      <c r="B67" s="63">
        <v>2007</v>
      </c>
      <c r="C67" s="64">
        <v>26000000</v>
      </c>
      <c r="D67" s="63" t="s">
        <v>176</v>
      </c>
      <c r="E67" s="63" t="s">
        <v>252</v>
      </c>
      <c r="F67" s="60" t="s">
        <v>253</v>
      </c>
      <c r="H67" s="74">
        <f t="shared" si="1"/>
        <v>37</v>
      </c>
      <c r="I67" s="74">
        <f t="shared" si="0"/>
        <v>26000000</v>
      </c>
      <c r="J67" s="35">
        <f t="shared" si="2"/>
        <v>17.073607095985757</v>
      </c>
    </row>
    <row r="68" spans="1:10" ht="16.149999999999999" customHeight="1" x14ac:dyDescent="0.25">
      <c r="A68" s="62" t="s">
        <v>254</v>
      </c>
      <c r="B68" s="63">
        <v>2007</v>
      </c>
      <c r="C68" s="64">
        <v>169000000</v>
      </c>
      <c r="D68" s="63" t="s">
        <v>109</v>
      </c>
      <c r="E68" s="63" t="s">
        <v>243</v>
      </c>
      <c r="F68" s="60" t="s">
        <v>255</v>
      </c>
      <c r="H68" s="74">
        <f t="shared" si="1"/>
        <v>37</v>
      </c>
      <c r="I68" s="74">
        <f t="shared" si="0"/>
        <v>169000000</v>
      </c>
      <c r="J68" s="35">
        <f t="shared" si="2"/>
        <v>18.945409272887346</v>
      </c>
    </row>
    <row r="69" spans="1:10" ht="16.149999999999999" customHeight="1" x14ac:dyDescent="0.25">
      <c r="A69" s="62" t="s">
        <v>256</v>
      </c>
      <c r="B69" s="63">
        <v>2007</v>
      </c>
      <c r="C69" s="64">
        <v>411000000</v>
      </c>
      <c r="D69" s="63" t="s">
        <v>109</v>
      </c>
      <c r="E69" s="63" t="s">
        <v>252</v>
      </c>
      <c r="F69" s="60" t="s">
        <v>257</v>
      </c>
      <c r="H69" s="74">
        <f t="shared" si="1"/>
        <v>37</v>
      </c>
      <c r="I69" s="74">
        <f t="shared" si="0"/>
        <v>411000000</v>
      </c>
      <c r="J69" s="35">
        <f t="shared" si="2"/>
        <v>19.834103772460509</v>
      </c>
    </row>
    <row r="70" spans="1:10" ht="16.149999999999999" customHeight="1" x14ac:dyDescent="0.25">
      <c r="A70" s="62" t="s">
        <v>258</v>
      </c>
      <c r="B70" s="63">
        <v>2007</v>
      </c>
      <c r="C70" s="64">
        <v>789000000</v>
      </c>
      <c r="D70" s="63" t="s">
        <v>259</v>
      </c>
      <c r="E70" s="63" t="s">
        <v>243</v>
      </c>
      <c r="F70" s="60" t="s">
        <v>260</v>
      </c>
      <c r="H70" s="74">
        <f t="shared" si="1"/>
        <v>37</v>
      </c>
      <c r="I70" s="74">
        <f t="shared" si="0"/>
        <v>789000000</v>
      </c>
      <c r="J70" s="35">
        <f t="shared" si="2"/>
        <v>20.486276878810148</v>
      </c>
    </row>
    <row r="71" spans="1:10" ht="16.149999999999999" customHeight="1" x14ac:dyDescent="0.25">
      <c r="A71" s="62" t="s">
        <v>261</v>
      </c>
      <c r="B71" s="63">
        <v>2008</v>
      </c>
      <c r="C71" s="64">
        <v>758000000</v>
      </c>
      <c r="D71" s="63" t="s">
        <v>193</v>
      </c>
      <c r="E71" s="63" t="s">
        <v>252</v>
      </c>
      <c r="F71" s="60" t="s">
        <v>262</v>
      </c>
      <c r="H71" s="74">
        <f t="shared" si="1"/>
        <v>38</v>
      </c>
      <c r="I71" s="74">
        <f t="shared" ref="I71:I109" si="3">C71</f>
        <v>758000000</v>
      </c>
      <c r="J71" s="35">
        <f t="shared" si="2"/>
        <v>20.446193943606644</v>
      </c>
    </row>
    <row r="72" spans="1:10" ht="16.149999999999999" customHeight="1" x14ac:dyDescent="0.25">
      <c r="A72" s="62" t="s">
        <v>263</v>
      </c>
      <c r="B72" s="63">
        <v>2008</v>
      </c>
      <c r="C72" s="64">
        <v>47000000</v>
      </c>
      <c r="D72" s="63" t="s">
        <v>109</v>
      </c>
      <c r="E72" s="63" t="s">
        <v>252</v>
      </c>
      <c r="F72" s="60" t="s">
        <v>264</v>
      </c>
      <c r="H72" s="74">
        <f t="shared" ref="H72:H109" si="4">B72-1970</f>
        <v>38</v>
      </c>
      <c r="I72" s="74">
        <f t="shared" si="3"/>
        <v>47000000</v>
      </c>
      <c r="J72" s="35">
        <f t="shared" ref="J72:J109" si="5">LN(C72)</f>
        <v>17.665658159674333</v>
      </c>
    </row>
    <row r="73" spans="1:10" ht="16.149999999999999" customHeight="1" x14ac:dyDescent="0.25">
      <c r="A73" s="62" t="s">
        <v>265</v>
      </c>
      <c r="B73" s="63">
        <v>2008</v>
      </c>
      <c r="C73" s="64">
        <v>230000000</v>
      </c>
      <c r="D73" s="63" t="s">
        <v>109</v>
      </c>
      <c r="E73" s="63" t="s">
        <v>252</v>
      </c>
      <c r="F73" s="60" t="s">
        <v>266</v>
      </c>
      <c r="H73" s="74">
        <f t="shared" si="4"/>
        <v>38</v>
      </c>
      <c r="I73" s="74">
        <f t="shared" si="3"/>
        <v>230000000</v>
      </c>
      <c r="J73" s="35">
        <f t="shared" si="5"/>
        <v>19.25358986688747</v>
      </c>
    </row>
    <row r="74" spans="1:10" ht="16.149999999999999" customHeight="1" x14ac:dyDescent="0.25">
      <c r="A74" s="62" t="s">
        <v>267</v>
      </c>
      <c r="B74" s="63">
        <v>2008</v>
      </c>
      <c r="C74" s="64">
        <v>731000000</v>
      </c>
      <c r="D74" s="63" t="s">
        <v>109</v>
      </c>
      <c r="E74" s="63" t="s">
        <v>252</v>
      </c>
      <c r="F74" s="60" t="s">
        <v>268</v>
      </c>
      <c r="H74" s="74">
        <f t="shared" si="4"/>
        <v>38</v>
      </c>
      <c r="I74" s="74">
        <f t="shared" si="3"/>
        <v>731000000</v>
      </c>
      <c r="J74" s="35">
        <f t="shared" si="5"/>
        <v>20.409924017714051</v>
      </c>
    </row>
    <row r="75" spans="1:10" ht="16.149999999999999" customHeight="1" x14ac:dyDescent="0.25">
      <c r="A75" s="62" t="s">
        <v>269</v>
      </c>
      <c r="B75" s="63">
        <v>2008</v>
      </c>
      <c r="C75" s="64">
        <v>1900000000</v>
      </c>
      <c r="D75" s="63" t="s">
        <v>109</v>
      </c>
      <c r="E75" s="63" t="s">
        <v>252</v>
      </c>
      <c r="F75" s="60" t="s">
        <v>270</v>
      </c>
      <c r="H75" s="74">
        <f t="shared" si="4"/>
        <v>38</v>
      </c>
      <c r="I75" s="74">
        <f t="shared" si="3"/>
        <v>1900000000</v>
      </c>
      <c r="J75" s="35">
        <f t="shared" si="5"/>
        <v>21.365119723118806</v>
      </c>
    </row>
    <row r="76" spans="1:10" ht="16.149999999999999" customHeight="1" x14ac:dyDescent="0.25">
      <c r="A76" s="62" t="s">
        <v>271</v>
      </c>
      <c r="B76" s="63">
        <v>2009</v>
      </c>
      <c r="C76" s="64">
        <v>904000000</v>
      </c>
      <c r="D76" s="63" t="s">
        <v>193</v>
      </c>
      <c r="E76" s="63" t="s">
        <v>252</v>
      </c>
      <c r="F76" s="60" t="s">
        <v>272</v>
      </c>
      <c r="H76" s="74">
        <f t="shared" si="4"/>
        <v>39</v>
      </c>
      <c r="I76" s="74">
        <f t="shared" si="3"/>
        <v>904000000</v>
      </c>
      <c r="J76" s="35">
        <f t="shared" si="5"/>
        <v>20.622339918356449</v>
      </c>
    </row>
    <row r="77" spans="1:10" ht="16.149999999999999" customHeight="1" x14ac:dyDescent="0.25">
      <c r="A77" s="62" t="s">
        <v>273</v>
      </c>
      <c r="B77" s="63">
        <v>2010</v>
      </c>
      <c r="C77" s="64">
        <v>1000000000</v>
      </c>
      <c r="D77" s="63" t="s">
        <v>274</v>
      </c>
      <c r="E77" s="63" t="s">
        <v>275</v>
      </c>
      <c r="F77" s="60" t="s">
        <v>276</v>
      </c>
      <c r="H77" s="74">
        <f t="shared" si="4"/>
        <v>40</v>
      </c>
      <c r="I77" s="74">
        <f t="shared" si="3"/>
        <v>1000000000</v>
      </c>
      <c r="J77" s="35">
        <f t="shared" si="5"/>
        <v>20.72326583694641</v>
      </c>
    </row>
    <row r="78" spans="1:10" ht="16.149999999999999" customHeight="1" x14ac:dyDescent="0.25">
      <c r="A78" s="62" t="s">
        <v>277</v>
      </c>
      <c r="B78" s="63">
        <v>2010</v>
      </c>
      <c r="C78" s="64">
        <v>1200000000</v>
      </c>
      <c r="D78" s="63" t="s">
        <v>259</v>
      </c>
      <c r="E78" s="63" t="s">
        <v>252</v>
      </c>
      <c r="F78" s="60" t="s">
        <v>278</v>
      </c>
      <c r="H78" s="74">
        <f t="shared" si="4"/>
        <v>40</v>
      </c>
      <c r="I78" s="74">
        <f t="shared" si="3"/>
        <v>1200000000</v>
      </c>
      <c r="J78" s="35">
        <f t="shared" si="5"/>
        <v>20.905587393740365</v>
      </c>
    </row>
    <row r="79" spans="1:10" ht="16.149999999999999" customHeight="1" x14ac:dyDescent="0.25">
      <c r="A79" s="63" t="s">
        <v>279</v>
      </c>
      <c r="B79" s="63">
        <v>2010</v>
      </c>
      <c r="C79" s="64">
        <v>2300000000</v>
      </c>
      <c r="D79" s="63" t="s">
        <v>109</v>
      </c>
      <c r="E79" s="63" t="s">
        <v>252</v>
      </c>
      <c r="F79" s="60" t="s">
        <v>280</v>
      </c>
      <c r="H79" s="74">
        <f t="shared" si="4"/>
        <v>40</v>
      </c>
      <c r="I79" s="74">
        <f t="shared" si="3"/>
        <v>2300000000</v>
      </c>
      <c r="J79" s="35">
        <f t="shared" si="5"/>
        <v>21.556174959881517</v>
      </c>
    </row>
    <row r="80" spans="1:10" ht="16.149999999999999" customHeight="1" x14ac:dyDescent="0.25">
      <c r="A80" s="62" t="s">
        <v>281</v>
      </c>
      <c r="B80" s="63">
        <v>2010</v>
      </c>
      <c r="C80" s="64">
        <v>2000000000</v>
      </c>
      <c r="D80" s="63" t="s">
        <v>109</v>
      </c>
      <c r="E80" s="63" t="s">
        <v>243</v>
      </c>
      <c r="F80" s="60" t="s">
        <v>282</v>
      </c>
      <c r="H80" s="74">
        <f t="shared" si="4"/>
        <v>40</v>
      </c>
      <c r="I80" s="74">
        <f t="shared" si="3"/>
        <v>2000000000</v>
      </c>
      <c r="J80" s="35">
        <f t="shared" si="5"/>
        <v>21.416413017506358</v>
      </c>
    </row>
    <row r="81" spans="1:10" ht="16.149999999999999" customHeight="1" x14ac:dyDescent="0.25">
      <c r="A81" s="63" t="s">
        <v>283</v>
      </c>
      <c r="B81" s="63">
        <v>2010</v>
      </c>
      <c r="C81" s="64">
        <v>1400000000</v>
      </c>
      <c r="D81" s="63" t="s">
        <v>259</v>
      </c>
      <c r="E81" s="63" t="s">
        <v>252</v>
      </c>
      <c r="F81" s="60" t="s">
        <v>284</v>
      </c>
      <c r="H81" s="74">
        <f t="shared" si="4"/>
        <v>40</v>
      </c>
      <c r="I81" s="74">
        <f t="shared" si="3"/>
        <v>1400000000</v>
      </c>
      <c r="J81" s="35">
        <f t="shared" si="5"/>
        <v>21.059738073567623</v>
      </c>
    </row>
    <row r="82" spans="1:10" ht="16.149999999999999" customHeight="1" x14ac:dyDescent="0.25">
      <c r="A82" s="62" t="s">
        <v>285</v>
      </c>
      <c r="B82" s="63">
        <v>2010</v>
      </c>
      <c r="C82" s="64">
        <v>1170000000</v>
      </c>
      <c r="D82" s="63" t="s">
        <v>109</v>
      </c>
      <c r="E82" s="63" t="s">
        <v>286</v>
      </c>
      <c r="F82" s="60" t="s">
        <v>287</v>
      </c>
      <c r="H82" s="74">
        <f t="shared" si="4"/>
        <v>40</v>
      </c>
      <c r="I82" s="74">
        <f t="shared" si="3"/>
        <v>1170000000</v>
      </c>
      <c r="J82" s="35">
        <f t="shared" si="5"/>
        <v>20.880269585756075</v>
      </c>
    </row>
    <row r="83" spans="1:10" ht="16.149999999999999" customHeight="1" x14ac:dyDescent="0.25">
      <c r="A83" s="63" t="s">
        <v>288</v>
      </c>
      <c r="B83" s="63">
        <v>2011</v>
      </c>
      <c r="C83" s="64">
        <v>2600000000</v>
      </c>
      <c r="D83" s="63" t="s">
        <v>109</v>
      </c>
      <c r="E83" s="63" t="s">
        <v>286</v>
      </c>
      <c r="F83" s="60" t="s">
        <v>284</v>
      </c>
      <c r="H83" s="74">
        <f t="shared" si="4"/>
        <v>41</v>
      </c>
      <c r="I83" s="74">
        <f t="shared" si="3"/>
        <v>2600000000</v>
      </c>
      <c r="J83" s="35">
        <f t="shared" si="5"/>
        <v>21.678777281973847</v>
      </c>
    </row>
    <row r="84" spans="1:10" ht="16.149999999999999" customHeight="1" x14ac:dyDescent="0.25">
      <c r="A84" s="63" t="s">
        <v>289</v>
      </c>
      <c r="B84" s="63">
        <v>2011</v>
      </c>
      <c r="C84" s="64">
        <v>1160000000</v>
      </c>
      <c r="D84" s="63" t="s">
        <v>109</v>
      </c>
      <c r="E84" s="63" t="s">
        <v>286</v>
      </c>
      <c r="F84" s="60" t="s">
        <v>290</v>
      </c>
      <c r="H84" s="74">
        <f t="shared" si="4"/>
        <v>41</v>
      </c>
      <c r="I84" s="74">
        <f t="shared" si="3"/>
        <v>1160000000</v>
      </c>
      <c r="J84" s="35">
        <f t="shared" si="5"/>
        <v>20.871685842064686</v>
      </c>
    </row>
    <row r="85" spans="1:10" ht="16.149999999999999" customHeight="1" x14ac:dyDescent="0.25">
      <c r="A85" s="62" t="s">
        <v>291</v>
      </c>
      <c r="B85" s="63">
        <v>2011</v>
      </c>
      <c r="C85" s="64">
        <v>2270000000</v>
      </c>
      <c r="D85" s="63" t="s">
        <v>109</v>
      </c>
      <c r="E85" s="63" t="s">
        <v>286</v>
      </c>
      <c r="F85" s="60" t="s">
        <v>292</v>
      </c>
      <c r="H85" s="74">
        <f t="shared" si="4"/>
        <v>41</v>
      </c>
      <c r="I85" s="74">
        <f t="shared" si="3"/>
        <v>2270000000</v>
      </c>
      <c r="J85" s="35">
        <f t="shared" si="5"/>
        <v>21.543045668439724</v>
      </c>
    </row>
    <row r="86" spans="1:10" ht="16.149999999999999" customHeight="1" x14ac:dyDescent="0.25">
      <c r="A86" s="62" t="s">
        <v>293</v>
      </c>
      <c r="B86" s="63">
        <v>2012</v>
      </c>
      <c r="C86" s="64">
        <v>5000000000</v>
      </c>
      <c r="D86" s="63" t="s">
        <v>109</v>
      </c>
      <c r="E86" s="63" t="s">
        <v>294</v>
      </c>
      <c r="F86" s="60" t="s">
        <v>295</v>
      </c>
      <c r="H86" s="74">
        <f t="shared" si="4"/>
        <v>42</v>
      </c>
      <c r="I86" s="74">
        <f t="shared" si="3"/>
        <v>5000000000</v>
      </c>
      <c r="J86" s="35">
        <f t="shared" si="5"/>
        <v>22.33270374938051</v>
      </c>
    </row>
    <row r="87" spans="1:10" ht="16.149999999999999" customHeight="1" x14ac:dyDescent="0.25">
      <c r="A87" s="62" t="s">
        <v>296</v>
      </c>
      <c r="B87" s="63">
        <v>2012</v>
      </c>
      <c r="C87" s="64">
        <v>1200000000</v>
      </c>
      <c r="D87" s="63" t="s">
        <v>193</v>
      </c>
      <c r="E87" s="63" t="s">
        <v>286</v>
      </c>
      <c r="F87" s="60" t="s">
        <v>297</v>
      </c>
      <c r="H87" s="74">
        <f t="shared" si="4"/>
        <v>42</v>
      </c>
      <c r="I87" s="74">
        <f t="shared" si="3"/>
        <v>1200000000</v>
      </c>
      <c r="J87" s="35">
        <f t="shared" si="5"/>
        <v>20.905587393740365</v>
      </c>
    </row>
    <row r="88" spans="1:10" ht="16.149999999999999" customHeight="1" x14ac:dyDescent="0.25">
      <c r="A88" s="62" t="s">
        <v>298</v>
      </c>
      <c r="B88" s="63">
        <v>2012</v>
      </c>
      <c r="C88" s="64">
        <v>3100000000</v>
      </c>
      <c r="D88" s="63" t="s">
        <v>109</v>
      </c>
      <c r="E88" s="63" t="s">
        <v>286</v>
      </c>
      <c r="F88" s="60" t="s">
        <v>299</v>
      </c>
      <c r="H88" s="74">
        <f t="shared" si="4"/>
        <v>42</v>
      </c>
      <c r="I88" s="74">
        <f t="shared" si="3"/>
        <v>3100000000</v>
      </c>
      <c r="J88" s="35">
        <f t="shared" si="5"/>
        <v>21.854667948437513</v>
      </c>
    </row>
    <row r="89" spans="1:10" ht="16.149999999999999" customHeight="1" x14ac:dyDescent="0.25">
      <c r="A89" s="62" t="s">
        <v>300</v>
      </c>
      <c r="B89" s="63">
        <v>2012</v>
      </c>
      <c r="C89" s="64">
        <v>2100000000</v>
      </c>
      <c r="D89" s="63" t="s">
        <v>259</v>
      </c>
      <c r="E89" s="63" t="s">
        <v>286</v>
      </c>
      <c r="F89" s="60" t="s">
        <v>278</v>
      </c>
      <c r="H89" s="74">
        <f t="shared" si="4"/>
        <v>42</v>
      </c>
      <c r="I89" s="74">
        <f t="shared" si="3"/>
        <v>2100000000</v>
      </c>
      <c r="J89" s="35">
        <f t="shared" si="5"/>
        <v>21.46520318167579</v>
      </c>
    </row>
    <row r="90" spans="1:10" ht="16.149999999999999" customHeight="1" x14ac:dyDescent="0.25">
      <c r="A90" s="62" t="s">
        <v>301</v>
      </c>
      <c r="B90" s="63">
        <v>2012</v>
      </c>
      <c r="C90" s="64">
        <v>1303000000</v>
      </c>
      <c r="D90" s="63" t="s">
        <v>193</v>
      </c>
      <c r="E90" s="63" t="s">
        <v>286</v>
      </c>
      <c r="F90" s="60" t="s">
        <v>302</v>
      </c>
      <c r="H90" s="74">
        <f t="shared" si="4"/>
        <v>42</v>
      </c>
      <c r="I90" s="74">
        <f t="shared" si="3"/>
        <v>1303000000</v>
      </c>
      <c r="J90" s="35">
        <f t="shared" si="5"/>
        <v>20.987935135089121</v>
      </c>
    </row>
    <row r="91" spans="1:10" ht="16.149999999999999" customHeight="1" x14ac:dyDescent="0.25">
      <c r="A91" s="62" t="s">
        <v>303</v>
      </c>
      <c r="B91" s="63">
        <v>2012</v>
      </c>
      <c r="C91" s="64">
        <v>1400000000</v>
      </c>
      <c r="D91" s="63" t="s">
        <v>109</v>
      </c>
      <c r="E91" s="63" t="s">
        <v>294</v>
      </c>
      <c r="F91" s="60" t="s">
        <v>304</v>
      </c>
      <c r="H91" s="74">
        <f t="shared" si="4"/>
        <v>42</v>
      </c>
      <c r="I91" s="74">
        <f t="shared" si="3"/>
        <v>1400000000</v>
      </c>
      <c r="J91" s="35">
        <f t="shared" si="5"/>
        <v>21.059738073567623</v>
      </c>
    </row>
    <row r="92" spans="1:10" ht="16.149999999999999" customHeight="1" x14ac:dyDescent="0.25">
      <c r="A92" s="62" t="s">
        <v>305</v>
      </c>
      <c r="B92" s="63">
        <v>2012</v>
      </c>
      <c r="C92" s="64">
        <v>2750000000</v>
      </c>
      <c r="D92" s="63" t="s">
        <v>259</v>
      </c>
      <c r="E92" s="63" t="s">
        <v>286</v>
      </c>
      <c r="F92" s="60" t="s">
        <v>306</v>
      </c>
      <c r="H92" s="74">
        <f t="shared" si="4"/>
        <v>42</v>
      </c>
      <c r="I92" s="74">
        <f t="shared" si="3"/>
        <v>2750000000</v>
      </c>
      <c r="J92" s="35">
        <f t="shared" si="5"/>
        <v>21.734866748624892</v>
      </c>
    </row>
    <row r="93" spans="1:10" ht="16.149999999999999" customHeight="1" x14ac:dyDescent="0.25">
      <c r="A93" s="62" t="s">
        <v>307</v>
      </c>
      <c r="B93" s="63">
        <v>2013</v>
      </c>
      <c r="C93" s="64">
        <v>4200000000</v>
      </c>
      <c r="D93" s="63" t="s">
        <v>259</v>
      </c>
      <c r="E93" s="63" t="s">
        <v>294</v>
      </c>
      <c r="F93" s="60" t="s">
        <v>308</v>
      </c>
      <c r="H93" s="74">
        <f t="shared" si="4"/>
        <v>43</v>
      </c>
      <c r="I93" s="74">
        <f t="shared" si="3"/>
        <v>4200000000</v>
      </c>
      <c r="J93" s="35">
        <f t="shared" si="5"/>
        <v>22.158350362235733</v>
      </c>
    </row>
    <row r="94" spans="1:10" ht="16.149999999999999" customHeight="1" x14ac:dyDescent="0.25">
      <c r="A94" s="63" t="s">
        <v>309</v>
      </c>
      <c r="B94" s="63">
        <v>2013</v>
      </c>
      <c r="C94" s="64">
        <v>1000000000</v>
      </c>
      <c r="D94" s="63" t="s">
        <v>310</v>
      </c>
      <c r="E94" s="63" t="s">
        <v>311</v>
      </c>
      <c r="F94" s="60" t="s">
        <v>312</v>
      </c>
      <c r="H94" s="74">
        <f t="shared" si="4"/>
        <v>43</v>
      </c>
      <c r="I94" s="74">
        <f t="shared" si="3"/>
        <v>1000000000</v>
      </c>
      <c r="J94" s="35">
        <f t="shared" si="5"/>
        <v>20.72326583694641</v>
      </c>
    </row>
    <row r="95" spans="1:10" ht="16.149999999999999" customHeight="1" x14ac:dyDescent="0.25">
      <c r="A95" s="62" t="s">
        <v>313</v>
      </c>
      <c r="B95" s="63">
        <v>2013</v>
      </c>
      <c r="C95" s="64">
        <v>1860000000</v>
      </c>
      <c r="D95" s="63" t="s">
        <v>109</v>
      </c>
      <c r="E95" s="63" t="s">
        <v>294</v>
      </c>
      <c r="F95" s="60" t="s">
        <v>314</v>
      </c>
      <c r="H95" s="74">
        <f t="shared" si="4"/>
        <v>43</v>
      </c>
      <c r="I95" s="74">
        <f t="shared" si="3"/>
        <v>1860000000</v>
      </c>
      <c r="J95" s="35">
        <f t="shared" si="5"/>
        <v>21.34384232467152</v>
      </c>
    </row>
    <row r="96" spans="1:10" ht="16.149999999999999" customHeight="1" x14ac:dyDescent="0.25">
      <c r="A96" s="62" t="s">
        <v>315</v>
      </c>
      <c r="B96" s="63">
        <v>2013</v>
      </c>
      <c r="C96" s="64">
        <v>5000000000</v>
      </c>
      <c r="D96" s="62" t="s">
        <v>316</v>
      </c>
      <c r="E96" s="63" t="s">
        <v>311</v>
      </c>
      <c r="F96" s="60" t="s">
        <v>317</v>
      </c>
      <c r="H96" s="74">
        <f t="shared" si="4"/>
        <v>43</v>
      </c>
      <c r="I96" s="74">
        <f t="shared" si="3"/>
        <v>5000000000</v>
      </c>
      <c r="J96" s="35">
        <f t="shared" si="5"/>
        <v>22.33270374938051</v>
      </c>
    </row>
    <row r="97" spans="1:10" ht="16.149999999999999" customHeight="1" x14ac:dyDescent="0.25">
      <c r="A97" s="63" t="s">
        <v>318</v>
      </c>
      <c r="B97" s="63">
        <v>2014</v>
      </c>
      <c r="C97" s="64">
        <v>4310000000</v>
      </c>
      <c r="D97" s="63" t="s">
        <v>109</v>
      </c>
      <c r="E97" s="63" t="s">
        <v>294</v>
      </c>
      <c r="F97" s="60" t="s">
        <v>319</v>
      </c>
      <c r="H97" s="74">
        <f t="shared" si="4"/>
        <v>44</v>
      </c>
      <c r="I97" s="74">
        <f t="shared" si="3"/>
        <v>4310000000</v>
      </c>
      <c r="J97" s="35">
        <f t="shared" si="5"/>
        <v>22.184203741062067</v>
      </c>
    </row>
    <row r="98" spans="1:10" ht="16.149999999999999" customHeight="1" x14ac:dyDescent="0.25">
      <c r="A98" s="62" t="s">
        <v>320</v>
      </c>
      <c r="B98" s="63">
        <v>2014</v>
      </c>
      <c r="C98" s="64">
        <v>5560000000</v>
      </c>
      <c r="D98" s="63" t="s">
        <v>109</v>
      </c>
      <c r="E98" s="63" t="s">
        <v>294</v>
      </c>
      <c r="F98" s="60" t="s">
        <v>321</v>
      </c>
      <c r="H98" s="74">
        <f t="shared" si="4"/>
        <v>44</v>
      </c>
      <c r="I98" s="74">
        <f t="shared" si="3"/>
        <v>5560000000</v>
      </c>
      <c r="J98" s="35">
        <f t="shared" si="5"/>
        <v>22.438863945208901</v>
      </c>
    </row>
    <row r="99" spans="1:10" ht="16.149999999999999" customHeight="1" x14ac:dyDescent="0.25">
      <c r="A99" s="62" t="s">
        <v>322</v>
      </c>
      <c r="B99" s="63">
        <v>2014</v>
      </c>
      <c r="C99" s="64">
        <v>2600000000</v>
      </c>
      <c r="D99" s="63" t="s">
        <v>109</v>
      </c>
      <c r="E99" s="63" t="s">
        <v>294</v>
      </c>
      <c r="F99" s="60" t="s">
        <v>323</v>
      </c>
      <c r="H99" s="74">
        <f t="shared" si="4"/>
        <v>44</v>
      </c>
      <c r="I99" s="74">
        <f t="shared" si="3"/>
        <v>2600000000</v>
      </c>
      <c r="J99" s="35">
        <f t="shared" si="5"/>
        <v>21.678777281973847</v>
      </c>
    </row>
    <row r="100" spans="1:10" ht="16.149999999999999" customHeight="1" x14ac:dyDescent="0.25">
      <c r="A100" s="62" t="s">
        <v>324</v>
      </c>
      <c r="B100" s="63">
        <v>2014</v>
      </c>
      <c r="C100" s="64">
        <v>2000000000</v>
      </c>
      <c r="D100" s="63" t="s">
        <v>310</v>
      </c>
      <c r="E100" s="63" t="s">
        <v>325</v>
      </c>
      <c r="F100" s="60" t="s">
        <v>326</v>
      </c>
      <c r="H100" s="74">
        <f t="shared" si="4"/>
        <v>44</v>
      </c>
      <c r="I100" s="74">
        <f t="shared" si="3"/>
        <v>2000000000</v>
      </c>
      <c r="J100" s="35">
        <f t="shared" si="5"/>
        <v>21.416413017506358</v>
      </c>
    </row>
    <row r="101" spans="1:10" ht="16.149999999999999" customHeight="1" x14ac:dyDescent="0.25">
      <c r="A101" s="62" t="s">
        <v>327</v>
      </c>
      <c r="B101" s="63">
        <v>2014</v>
      </c>
      <c r="C101" s="64">
        <v>3000000000</v>
      </c>
      <c r="D101" s="63" t="s">
        <v>310</v>
      </c>
      <c r="E101" s="63" t="s">
        <v>325</v>
      </c>
      <c r="F101" s="60" t="s">
        <v>212</v>
      </c>
      <c r="H101" s="74">
        <f t="shared" si="4"/>
        <v>44</v>
      </c>
      <c r="I101" s="74">
        <f t="shared" si="3"/>
        <v>3000000000</v>
      </c>
      <c r="J101" s="35">
        <f t="shared" si="5"/>
        <v>21.821878125614521</v>
      </c>
    </row>
    <row r="102" spans="1:10" ht="16.149999999999999" customHeight="1" x14ac:dyDescent="0.25">
      <c r="A102" s="62" t="s">
        <v>328</v>
      </c>
      <c r="B102" s="63">
        <v>2014</v>
      </c>
      <c r="C102" s="64">
        <v>1400000000</v>
      </c>
      <c r="D102" s="63" t="s">
        <v>109</v>
      </c>
      <c r="E102" s="63" t="s">
        <v>294</v>
      </c>
      <c r="F102" s="60" t="s">
        <v>329</v>
      </c>
      <c r="H102" s="74">
        <f t="shared" si="4"/>
        <v>44</v>
      </c>
      <c r="I102" s="74">
        <f t="shared" si="3"/>
        <v>1400000000</v>
      </c>
      <c r="J102" s="35">
        <f t="shared" si="5"/>
        <v>21.059738073567623</v>
      </c>
    </row>
    <row r="103" spans="1:10" ht="16.149999999999999" customHeight="1" x14ac:dyDescent="0.25">
      <c r="A103" s="62" t="s">
        <v>330</v>
      </c>
      <c r="B103" s="63">
        <v>2015</v>
      </c>
      <c r="C103" s="64">
        <v>1900000000</v>
      </c>
      <c r="D103" s="63" t="s">
        <v>109</v>
      </c>
      <c r="E103" s="63" t="s">
        <v>331</v>
      </c>
      <c r="F103" s="60" t="s">
        <v>332</v>
      </c>
      <c r="H103" s="74">
        <f t="shared" si="4"/>
        <v>45</v>
      </c>
      <c r="I103" s="74">
        <f t="shared" si="3"/>
        <v>1900000000</v>
      </c>
      <c r="J103" s="35">
        <f t="shared" si="5"/>
        <v>21.365119723118806</v>
      </c>
    </row>
    <row r="104" spans="1:10" ht="16.149999999999999" customHeight="1" x14ac:dyDescent="0.25">
      <c r="A104" s="62" t="s">
        <v>333</v>
      </c>
      <c r="B104" s="63">
        <v>2015</v>
      </c>
      <c r="C104" s="64">
        <v>3990000000</v>
      </c>
      <c r="D104" s="63" t="s">
        <v>259</v>
      </c>
      <c r="E104" s="63" t="s">
        <v>294</v>
      </c>
      <c r="F104" s="60" t="s">
        <v>334</v>
      </c>
      <c r="H104" s="74">
        <f t="shared" si="4"/>
        <v>45</v>
      </c>
      <c r="I104" s="74">
        <f t="shared" si="3"/>
        <v>3990000000</v>
      </c>
      <c r="J104" s="35">
        <f t="shared" si="5"/>
        <v>22.107057067848181</v>
      </c>
    </row>
    <row r="105" spans="1:10" ht="16.149999999999999" customHeight="1" x14ac:dyDescent="0.25">
      <c r="A105" s="62" t="s">
        <v>335</v>
      </c>
      <c r="B105" s="63">
        <v>2015</v>
      </c>
      <c r="C105" s="64">
        <v>7100000000</v>
      </c>
      <c r="D105" s="63" t="s">
        <v>259</v>
      </c>
      <c r="E105" s="63" t="s">
        <v>294</v>
      </c>
      <c r="F105" s="60" t="s">
        <v>334</v>
      </c>
      <c r="H105" s="74">
        <f t="shared" si="4"/>
        <v>45</v>
      </c>
      <c r="I105" s="74">
        <f t="shared" si="3"/>
        <v>7100000000</v>
      </c>
      <c r="J105" s="35">
        <f t="shared" si="5"/>
        <v>22.683360620993682</v>
      </c>
    </row>
    <row r="106" spans="1:10" ht="16.149999999999999" customHeight="1" x14ac:dyDescent="0.25">
      <c r="A106" s="62" t="s">
        <v>336</v>
      </c>
      <c r="B106" s="63">
        <v>2015</v>
      </c>
      <c r="C106" s="64">
        <v>1750000000</v>
      </c>
      <c r="D106" s="63" t="s">
        <v>109</v>
      </c>
      <c r="E106" s="63" t="s">
        <v>331</v>
      </c>
      <c r="F106" s="60" t="s">
        <v>337</v>
      </c>
      <c r="H106" s="74">
        <f t="shared" si="4"/>
        <v>45</v>
      </c>
      <c r="I106" s="74">
        <f t="shared" si="3"/>
        <v>1750000000</v>
      </c>
      <c r="J106" s="35">
        <f t="shared" si="5"/>
        <v>21.282881624881835</v>
      </c>
    </row>
    <row r="107" spans="1:10" ht="16.149999999999999" customHeight="1" x14ac:dyDescent="0.25">
      <c r="A107" s="62" t="s">
        <v>338</v>
      </c>
      <c r="B107" s="63">
        <v>2015</v>
      </c>
      <c r="C107" s="64">
        <v>10000000000</v>
      </c>
      <c r="D107" s="63" t="s">
        <v>339</v>
      </c>
      <c r="E107" s="63" t="s">
        <v>325</v>
      </c>
      <c r="F107" s="60"/>
      <c r="H107" s="74">
        <f t="shared" si="4"/>
        <v>45</v>
      </c>
      <c r="I107" s="74">
        <f t="shared" si="3"/>
        <v>10000000000</v>
      </c>
      <c r="J107" s="35">
        <f t="shared" si="5"/>
        <v>23.025850929940457</v>
      </c>
    </row>
    <row r="108" spans="1:10" ht="16.149999999999999" customHeight="1" x14ac:dyDescent="0.25">
      <c r="A108" s="62" t="s">
        <v>340</v>
      </c>
      <c r="B108" s="63">
        <v>2016</v>
      </c>
      <c r="C108" s="64">
        <v>7200000000</v>
      </c>
      <c r="D108" s="63" t="s">
        <v>109</v>
      </c>
      <c r="E108" s="63" t="s">
        <v>331</v>
      </c>
      <c r="F108" s="60" t="s">
        <v>341</v>
      </c>
      <c r="H108" s="74">
        <f t="shared" si="4"/>
        <v>46</v>
      </c>
      <c r="I108" s="74">
        <f t="shared" si="3"/>
        <v>7200000000</v>
      </c>
      <c r="J108" s="35">
        <f t="shared" si="5"/>
        <v>22.69734686296842</v>
      </c>
    </row>
    <row r="109" spans="1:10" ht="16.149999999999999" customHeight="1" x14ac:dyDescent="0.25">
      <c r="A109" s="62" t="s">
        <v>342</v>
      </c>
      <c r="B109" s="63">
        <v>2016</v>
      </c>
      <c r="C109" s="64">
        <v>3300000000</v>
      </c>
      <c r="D109" s="63" t="s">
        <v>310</v>
      </c>
      <c r="E109" s="63" t="s">
        <v>343</v>
      </c>
      <c r="F109" s="60" t="s">
        <v>344</v>
      </c>
      <c r="H109" s="74">
        <f t="shared" si="4"/>
        <v>46</v>
      </c>
      <c r="I109" s="74">
        <f t="shared" si="3"/>
        <v>3300000000</v>
      </c>
      <c r="J109" s="35">
        <f t="shared" si="5"/>
        <v>21.917188305418847</v>
      </c>
    </row>
  </sheetData>
  <mergeCells count="1">
    <mergeCell ref="A1:N1"/>
  </mergeCells>
  <hyperlinks>
    <hyperlink ref="E6" r:id="rId1" tooltip="Semiconductor device fabrication" display="https://en.wikipedia.org/wiki/Semiconductor_device_fabrication"/>
    <hyperlink ref="A7" r:id="rId2" tooltip="Intel 4004" display="https://en.wikipedia.org/wiki/Intel_4004"/>
    <hyperlink ref="D7" r:id="rId3" tooltip="Intel" display="https://en.wikipedia.org/wiki/Intel"/>
    <hyperlink ref="A8" r:id="rId4" tooltip="Intel 8008" display="https://en.wikipedia.org/wiki/Intel_8008"/>
    <hyperlink ref="A9" r:id="rId5" tooltip="Intel 8080" display="https://en.wikipedia.org/wiki/Intel_8080"/>
    <hyperlink ref="A10" r:id="rId6" tooltip="Motorola 6800" display="https://en.wikipedia.org/wiki/Motorola_6800"/>
    <hyperlink ref="D10" r:id="rId7" tooltip="Motorola" display="https://en.wikipedia.org/wiki/Motorola"/>
    <hyperlink ref="A11" r:id="rId8" tooltip="RCA 1802" display="https://en.wikipedia.org/wiki/RCA_1802"/>
    <hyperlink ref="D11" r:id="rId9" tooltip="RCA" display="https://en.wikipedia.org/wiki/RCA"/>
    <hyperlink ref="A12" r:id="rId10" tooltip="Texas Instruments TMS1000" display="https://en.wikipedia.org/wiki/Texas_Instruments_TMS1000"/>
    <hyperlink ref="D12" r:id="rId11" tooltip="Texas Instruments" display="https://en.wikipedia.org/wiki/Texas_Instruments"/>
    <hyperlink ref="A13" r:id="rId12" tooltip="MOS Technology 6502" display="https://en.wikipedia.org/wiki/MOS_Technology_6502"/>
    <hyperlink ref="D13" r:id="rId13" tooltip="MOS Technology" display="https://en.wikipedia.org/wiki/MOS_Technology"/>
    <hyperlink ref="A14" r:id="rId14" tooltip="Intel 8085" display="https://en.wikipedia.org/wiki/Intel_8085"/>
    <hyperlink ref="A15" r:id="rId15" tooltip="Zilog Z80" display="https://en.wikipedia.org/wiki/Zilog_Z80"/>
    <hyperlink ref="D15" r:id="rId16" tooltip="Zilog" display="https://en.wikipedia.org/wiki/Zilog"/>
    <hyperlink ref="A16" r:id="rId17" tooltip="Intel 8086" display="https://en.wikipedia.org/wiki/Intel_8086"/>
    <hyperlink ref="A17" r:id="rId18" tooltip="Motorola 6809" display="https://en.wikipedia.org/wiki/Motorola_6809"/>
    <hyperlink ref="A18" r:id="rId19" tooltip="Intel 8088" display="https://en.wikipedia.org/wiki/Intel_8088"/>
    <hyperlink ref="A19" r:id="rId20" tooltip="Motorola 68000" display="https://en.wikipedia.org/wiki/Motorola_68000"/>
    <hyperlink ref="A20" r:id="rId21" tooltip="WDC 65C02" display="https://en.wikipedia.org/wiki/WDC_65C02"/>
    <hyperlink ref="A21" r:id="rId22" tooltip="Intel 80186" display="https://en.wikipedia.org/wiki/Intel_80186"/>
    <hyperlink ref="A22" r:id="rId23" tooltip="Intel 80286" display="https://en.wikipedia.org/wiki/Intel_80286"/>
    <hyperlink ref="A23" r:id="rId24" tooltip="WDC 65C816" display="https://en.wikipedia.org/wiki/WDC_65C816"/>
    <hyperlink ref="D23" r:id="rId25" tooltip="Western Design Center" display="https://en.wikipedia.org/wiki/Western_Design_Center"/>
    <hyperlink ref="A24" r:id="rId26" tooltip="Motorola 68020" display="https://en.wikipedia.org/wiki/Motorola_68020"/>
    <hyperlink ref="A25" r:id="rId27" tooltip="ARM architecture" display="https://en.wikipedia.org/wiki/ARM_architecture"/>
    <hyperlink ref="D25" r:id="rId28" tooltip="Acorn Computers" display="https://en.wikipedia.org/wiki/Acorn_Computers"/>
    <hyperlink ref="A26" r:id="rId29" tooltip="Intel 80386" display="https://en.wikipedia.org/wiki/Intel_80386"/>
    <hyperlink ref="D27" r:id="rId30" tooltip="Harris Corporation" display="https://en.wikipedia.org/wiki/Harris_Corporation"/>
    <hyperlink ref="A28" r:id="rId31" tooltip="ARM architecture" display="https://en.wikipedia.org/wiki/ARM_architecture"/>
    <hyperlink ref="A31" r:id="rId32" tooltip="Intel i960" display="https://en.wikipedia.org/wiki/Intel_i960"/>
    <hyperlink ref="A32" r:id="rId33" tooltip="ARM architecture" display="https://en.wikipedia.org/wiki/ARM_architecture"/>
    <hyperlink ref="A33" r:id="rId34" tooltip="Intel 80486" display="https://en.wikipedia.org/wiki/Intel_80486"/>
    <hyperlink ref="A34" r:id="rId35" tooltip="ARM architecture" display="https://en.wikipedia.org/wiki/ARM_architecture"/>
    <hyperlink ref="D34" r:id="rId36" tooltip="ARM Holdings" display="https://en.wikipedia.org/wiki/ARM_Holdings"/>
    <hyperlink ref="A35" r:id="rId37" tooltip="R4000" display="https://en.wikipedia.org/wiki/R4000"/>
    <hyperlink ref="D35" r:id="rId38" tooltip="MIPS Technologies" display="https://en.wikipedia.org/wiki/MIPS_Technologies"/>
    <hyperlink ref="A36" r:id="rId39" tooltip="Intel P5" display="https://en.wikipedia.org/wiki/Intel_P5"/>
    <hyperlink ref="A37" r:id="rId40" tooltip="ARM architecture" display="https://en.wikipedia.org/wiki/ARM_architecture"/>
    <hyperlink ref="A38" r:id="rId41" tooltip="Pentium Pro" display="https://en.wikipedia.org/wiki/Pentium_Pro"/>
    <hyperlink ref="A39" r:id="rId42" tooltip="ARM architecture" display="https://en.wikipedia.org/wiki/ARM_architecture"/>
    <hyperlink ref="A40" r:id="rId43" tooltip="AMD K5" display="https://en.wikipedia.org/wiki/AMD_K5"/>
    <hyperlink ref="D40" r:id="rId44" tooltip="AMD" display="https://en.wikipedia.org/wiki/AMD"/>
    <hyperlink ref="A41" r:id="rId45" tooltip="AMD K6" display="https://en.wikipedia.org/wiki/AMD_K6"/>
    <hyperlink ref="A42" r:id="rId46" tooltip="Pentium II" display="https://en.wikipedia.org/wiki/Pentium_II"/>
    <hyperlink ref="A43" r:id="rId47" tooltip="Pentium II" display="https://en.wikipedia.org/wiki/Pentium_II"/>
    <hyperlink ref="A44" r:id="rId48" tooltip="AMD K6-III" display="https://en.wikipedia.org/wiki/AMD_K6-III"/>
    <hyperlink ref="A45" r:id="rId49" tooltip="AMD K7" display="https://en.wikipedia.org/wiki/AMD_K7"/>
    <hyperlink ref="A46" r:id="rId50" tooltip="ARM architecture" display="https://en.wikipedia.org/wiki/ARM_architecture"/>
    <hyperlink ref="A47" r:id="rId51" tooltip="Pentium II" display="https://en.wikipedia.org/wiki/Pentium_II"/>
    <hyperlink ref="A48" r:id="rId52" tooltip="Pentium III" display="https://en.wikipedia.org/wiki/Pentium_III"/>
    <hyperlink ref="A49" r:id="rId53" tooltip="Pentium 4" display="https://en.wikipedia.org/wiki/Pentium_4"/>
    <hyperlink ref="A50" r:id="rId54" tooltip="Pentium III" display="https://en.wikipedia.org/wiki/Pentium_III"/>
    <hyperlink ref="A51" r:id="rId55" tooltip="Pentium III" display="https://en.wikipedia.org/wiki/Pentium_III"/>
    <hyperlink ref="A52" r:id="rId56" tooltip="Itanium 2" display="https://en.wikipedia.org/wiki/Itanium_2"/>
    <hyperlink ref="A53" r:id="rId57" tooltip="Pentium 4" display="https://en.wikipedia.org/wiki/Pentium_4"/>
    <hyperlink ref="A54" r:id="rId58" tooltip="AMD K8" display="https://en.wikipedia.org/wiki/AMD_K8"/>
    <hyperlink ref="A55" r:id="rId59" location="Barton_and_Thorton" tooltip="Athlon" display="https://en.wikipedia.org/wiki/Athlon - Barton_and_Thorton"/>
    <hyperlink ref="A56" r:id="rId60" tooltip="Itanium 2" display="https://en.wikipedia.org/wiki/Itanium_2"/>
    <hyperlink ref="A58" r:id="rId61" tooltip="Pentium 4" display="https://en.wikipedia.org/wiki/Pentium_4"/>
    <hyperlink ref="A59" r:id="rId62" tooltip="Pentium 4" display="https://en.wikipedia.org/wiki/Pentium_4"/>
    <hyperlink ref="A60" r:id="rId63" tooltip="Pentium D" display="https://en.wikipedia.org/wiki/Pentium_D"/>
    <hyperlink ref="A61" r:id="rId64" tooltip="Cell (microprocessor)" display="https://en.wikipedia.org/wiki/Cell_%28microprocessor%29"/>
    <hyperlink ref="A62" r:id="rId65" tooltip="Core 2 Duo" display="https://en.wikipedia.org/wiki/Core_2_Duo"/>
    <hyperlink ref="A63" r:id="rId66" tooltip="Itanium 2" display="https://en.wikipedia.org/wiki/Itanium_2"/>
    <hyperlink ref="A64" r:id="rId67" tooltip="Pentium 4" display="https://en.wikipedia.org/wiki/Pentium_4"/>
    <hyperlink ref="A65" r:id="rId68" tooltip="Pentium D" display="https://en.wikipedia.org/wiki/Pentium_D"/>
    <hyperlink ref="A66" r:id="rId69" tooltip="AMD K10" display="https://en.wikipedia.org/wiki/AMD_K10"/>
    <hyperlink ref="A67" r:id="rId70" tooltip="ARM architecture" display="https://en.wikipedia.org/wiki/ARM_architecture"/>
    <hyperlink ref="A68" r:id="rId71" tooltip="Core 2 Duo" display="https://en.wikipedia.org/wiki/Core_2_Duo"/>
    <hyperlink ref="A69" r:id="rId72" tooltip="Core 2 Duo" display="https://en.wikipedia.org/wiki/Core_2_Duo"/>
    <hyperlink ref="A70" r:id="rId73" tooltip="POWER6" display="https://en.wikipedia.org/wiki/POWER6"/>
    <hyperlink ref="A71" r:id="rId74" tooltip="AMD K10" display="https://en.wikipedia.org/wiki/AMD_K10"/>
    <hyperlink ref="A72" r:id="rId75" tooltip="Intel Atom" display="https://en.wikipedia.org/wiki/Intel_Atom"/>
    <hyperlink ref="A73" r:id="rId76" tooltip="Core 2 Duo" display="https://en.wikipedia.org/wiki/Core_2_Duo"/>
    <hyperlink ref="A74" r:id="rId77" tooltip="Core i7" display="https://en.wikipedia.org/wiki/Core_i7"/>
    <hyperlink ref="A75" r:id="rId78" tooltip="Xeon" display="https://en.wikipedia.org/wiki/Xeon"/>
    <hyperlink ref="A76" r:id="rId79" tooltip="Opteron" display="https://en.wikipedia.org/wiki/Opteron"/>
    <hyperlink ref="A77" r:id="rId80" tooltip="SPARC T3" display="https://en.wikipedia.org/wiki/SPARC_T3"/>
    <hyperlink ref="A78" r:id="rId81" tooltip="POWER7" display="https://en.wikipedia.org/wiki/POWER7"/>
    <hyperlink ref="A80" r:id="rId82" tooltip="Tukwila (processor)" display="https://en.wikipedia.org/wiki/Tukwila_%28processor%29"/>
    <hyperlink ref="A82" r:id="rId83" tooltip="Gulftown (microprocessor)" display="https://en.wikipedia.org/wiki/Gulftown_%28microprocessor%29"/>
    <hyperlink ref="A85" r:id="rId84" tooltip="Sandy Bridge-E (microprocessor)" display="https://en.wikipedia.org/wiki/Sandy_Bridge-E_%28microprocessor%29"/>
    <hyperlink ref="A86" r:id="rId85" tooltip="Xeon Phi" display="https://en.wikipedia.org/wiki/Xeon_Phi"/>
    <hyperlink ref="A87" r:id="rId86" tooltip="AMD Bulldozer" display="https://en.wikipedia.org/wiki/AMD_Bulldozer"/>
    <hyperlink ref="A88" r:id="rId87" tooltip="Poulson (processor)" display="https://en.wikipedia.org/wiki/Poulson_%28processor%29"/>
    <hyperlink ref="A89" r:id="rId88" location="POWER7.2B" tooltip="POWER7" display="https://en.wikipedia.org/wiki/POWER7 - POWER7.2B"/>
    <hyperlink ref="A90" r:id="rId89" tooltip="AMD Trinity" display="https://en.wikipedia.org/wiki/AMD_Trinity"/>
    <hyperlink ref="A91" r:id="rId90" tooltip="Ivy Bridge (microarchitecture)" display="https://en.wikipedia.org/wiki/Ivy_Bridge_%28microarchitecture%29"/>
    <hyperlink ref="A92" r:id="rId91" tooltip="IBM zEC12 (microprocessor)" display="https://en.wikipedia.org/wiki/IBM_zEC12_%28microprocessor%29"/>
    <hyperlink ref="A93" r:id="rId92" tooltip="POWER8" display="https://en.wikipedia.org/wiki/POWER8"/>
    <hyperlink ref="A95" r:id="rId93" tooltip="Ivy Bridge (microarchitecture)" display="https://en.wikipedia.org/wiki/Ivy_Bridge_%28microarchitecture%29"/>
    <hyperlink ref="A96" r:id="rId94" tooltip="Xbox One" display="https://en.wikipedia.org/wiki/Xbox_One"/>
    <hyperlink ref="D96" r:id="rId95" tooltip="Microsoft" display="https://en.wikipedia.org/wiki/Microsoft"/>
    <hyperlink ref="A98" r:id="rId96" tooltip="Haswell (microarchitecture)" display="https://en.wikipedia.org/wiki/Haswell_%28microarchitecture%29"/>
    <hyperlink ref="A99" r:id="rId97" tooltip="Haswell (microarchitecture)" display="https://en.wikipedia.org/wiki/Haswell_%28microarchitecture%29"/>
    <hyperlink ref="A100" r:id="rId98" tooltip="Apple A8" display="https://en.wikipedia.org/wiki/Apple_A8"/>
    <hyperlink ref="A101" r:id="rId99" tooltip="Apple A8X" display="https://en.wikipedia.org/wiki/Apple_A8X"/>
    <hyperlink ref="A102" r:id="rId100" tooltip="Haswell (microarchitecture)" display="https://en.wikipedia.org/wiki/Haswell_%28microarchitecture%29"/>
    <hyperlink ref="A103" r:id="rId101" tooltip="Broadwell (microarchitecture)" display="https://en.wikipedia.org/wiki/Broadwell_%28microarchitecture%29"/>
    <hyperlink ref="A104" r:id="rId102" tooltip="IBM z13 (microprocessor)" display="https://en.wikipedia.org/wiki/IBM_z13_%28microprocessor%29"/>
    <hyperlink ref="A105" r:id="rId103" location="Storage_Controller" tooltip="IBM z13 (microprocessor)" display="https://en.wikipedia.org/wiki/IBM_z13_%28microprocessor%29 - Storage_Controller"/>
    <hyperlink ref="A106" r:id="rId104" tooltip="Skylake (microarchitecture)" display="https://en.wikipedia.org/wiki/Skylake_%28microarchitecture%29"/>
    <hyperlink ref="A107" r:id="rId105" tooltip="SPARC" display="https://en.wikipedia.org/wiki/SPARC"/>
    <hyperlink ref="A108" r:id="rId106" tooltip="Broadwell (microarchitecture)" display="https://en.wikipedia.org/wiki/Broadwell_%28microarchitecture%29"/>
    <hyperlink ref="A109" r:id="rId107" tooltip="Apple A10" display="https://en.wikipedia.org/wiki/Apple_A10"/>
    <hyperlink ref="C4" r:id="rId108"/>
  </hyperlinks>
  <pageMargins left="0.7" right="0.7" top="0.75" bottom="0.75" header="0.3" footer="0.3"/>
  <drawing r:id="rId10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showGridLines="0" zoomScale="70" zoomScaleNormal="70" workbookViewId="0"/>
  </sheetViews>
  <sheetFormatPr defaultRowHeight="15" x14ac:dyDescent="0.25"/>
  <cols>
    <col min="3" max="4" width="6" customWidth="1"/>
    <col min="5" max="13" width="6" style="160" customWidth="1"/>
    <col min="14" max="17" width="9.140625" style="160"/>
  </cols>
  <sheetData>
    <row r="1" spans="1:17" x14ac:dyDescent="0.25"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</row>
    <row r="2" spans="1:17" x14ac:dyDescent="0.25">
      <c r="A2" s="292" t="s">
        <v>630</v>
      </c>
      <c r="B2" s="292"/>
      <c r="C2" s="292"/>
      <c r="D2" s="292"/>
      <c r="E2" s="292"/>
      <c r="F2" s="292"/>
      <c r="G2" s="292"/>
      <c r="H2" s="292"/>
      <c r="I2" s="292"/>
      <c r="J2" s="184"/>
      <c r="K2" s="184"/>
      <c r="L2" s="184"/>
      <c r="M2" s="184"/>
      <c r="N2" s="184"/>
      <c r="O2" s="184"/>
      <c r="P2" s="184"/>
      <c r="Q2" s="184"/>
    </row>
    <row r="3" spans="1:17" x14ac:dyDescent="0.25"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</row>
    <row r="4" spans="1:17" x14ac:dyDescent="0.25">
      <c r="A4" s="181" t="s">
        <v>561</v>
      </c>
      <c r="B4" s="181"/>
      <c r="J4" s="271" t="s">
        <v>494</v>
      </c>
      <c r="K4" s="271"/>
      <c r="N4" s="160" t="s">
        <v>493</v>
      </c>
    </row>
    <row r="5" spans="1:17" x14ac:dyDescent="0.25">
      <c r="A5" s="181" t="s">
        <v>476</v>
      </c>
      <c r="B5" s="181">
        <v>3</v>
      </c>
      <c r="J5" s="160" t="s">
        <v>470</v>
      </c>
      <c r="K5" s="160" t="s">
        <v>471</v>
      </c>
      <c r="N5" s="160" t="s">
        <v>572</v>
      </c>
    </row>
    <row r="6" spans="1:17" ht="15.75" thickBot="1" x14ac:dyDescent="0.3">
      <c r="A6" s="181" t="s">
        <v>477</v>
      </c>
      <c r="B6" s="181">
        <v>5</v>
      </c>
      <c r="I6" s="160" t="s">
        <v>31</v>
      </c>
      <c r="J6" s="35">
        <f>CORREL(E15:E24,G15:G24)</f>
        <v>0.94587583392886854</v>
      </c>
      <c r="K6" s="35">
        <f>CORREL(E15:E24,F15:F24)</f>
        <v>0.80036937641510364</v>
      </c>
      <c r="M6" s="160" t="s">
        <v>31</v>
      </c>
      <c r="N6" s="35">
        <f>CORREL(J15:J24,K15:K24)</f>
        <v>1</v>
      </c>
    </row>
    <row r="7" spans="1:17" ht="15.75" thickTop="1" x14ac:dyDescent="0.25">
      <c r="A7" s="181"/>
      <c r="B7" s="181"/>
      <c r="D7" s="188" t="s">
        <v>476</v>
      </c>
      <c r="E7" s="213">
        <f>J9-K9*N9</f>
        <v>3</v>
      </c>
      <c r="J7" s="35"/>
      <c r="K7" s="35"/>
      <c r="N7" s="35"/>
    </row>
    <row r="8" spans="1:17" ht="15.75" thickBot="1" x14ac:dyDescent="0.3">
      <c r="D8" s="192" t="s">
        <v>477</v>
      </c>
      <c r="E8" s="214">
        <f>N9</f>
        <v>5.0000000000000009</v>
      </c>
      <c r="J8" s="160" t="s">
        <v>479</v>
      </c>
      <c r="K8" s="160" t="s">
        <v>480</v>
      </c>
      <c r="N8" s="160" t="s">
        <v>481</v>
      </c>
    </row>
    <row r="9" spans="1:17" ht="15.75" thickTop="1" x14ac:dyDescent="0.25">
      <c r="I9" s="160" t="s">
        <v>489</v>
      </c>
      <c r="J9" s="35">
        <f>J6*G12/E12</f>
        <v>5.5355900031635565</v>
      </c>
      <c r="K9" s="160">
        <f>K6*F12/E12</f>
        <v>0.50711800063271117</v>
      </c>
      <c r="M9" s="160" t="s">
        <v>489</v>
      </c>
      <c r="N9" s="35">
        <f>N6*J12/K12</f>
        <v>5.0000000000000009</v>
      </c>
    </row>
    <row r="11" spans="1:17" x14ac:dyDescent="0.25">
      <c r="D11" t="s">
        <v>22</v>
      </c>
      <c r="E11" s="31">
        <f>AVERAGE(E15:E24)</f>
        <v>7.7</v>
      </c>
      <c r="F11" s="31">
        <f>AVERAGE(F15:F24)</f>
        <v>8.1</v>
      </c>
      <c r="G11" s="31">
        <f>AVERAGE(G15:G24)</f>
        <v>63.6</v>
      </c>
      <c r="H11" s="31"/>
      <c r="I11" t="s">
        <v>22</v>
      </c>
      <c r="J11" s="31">
        <f>AVERAGE(J15:J24)</f>
        <v>20.975956975640617</v>
      </c>
      <c r="K11" s="31">
        <f>AVERAGE(K15:K24)</f>
        <v>4.1951913951281243</v>
      </c>
      <c r="M11"/>
      <c r="N11" s="31"/>
    </row>
    <row r="12" spans="1:17" x14ac:dyDescent="0.25">
      <c r="D12" t="s">
        <v>562</v>
      </c>
      <c r="E12" s="31">
        <f>_xlfn.STDEV.S(E15:E24)</f>
        <v>5.9264004439644662</v>
      </c>
      <c r="F12" s="31">
        <f>_xlfn.STDEV.S(F15:F24)</f>
        <v>3.7549966711037173</v>
      </c>
      <c r="G12" s="31">
        <f>_xlfn.STDEV.S(G15:G24)</f>
        <v>34.683329328848082</v>
      </c>
      <c r="H12" s="31"/>
      <c r="I12" t="s">
        <v>562</v>
      </c>
      <c r="J12" s="31">
        <f>_xlfn.STDEV.S(J15:J24)</f>
        <v>11.255737363991603</v>
      </c>
      <c r="K12" s="31">
        <f>_xlfn.STDEV.S(K15:K24)</f>
        <v>2.2511474727983201</v>
      </c>
      <c r="M12"/>
      <c r="N12" s="31"/>
    </row>
    <row r="13" spans="1:17" ht="15.75" thickBot="1" x14ac:dyDescent="0.3">
      <c r="J13" s="271" t="s">
        <v>384</v>
      </c>
      <c r="K13" s="271"/>
      <c r="N13" s="160" t="s">
        <v>384</v>
      </c>
    </row>
    <row r="14" spans="1:17" ht="15.75" thickTop="1" x14ac:dyDescent="0.25">
      <c r="E14" s="162" t="s">
        <v>486</v>
      </c>
      <c r="F14" s="163" t="s">
        <v>487</v>
      </c>
      <c r="G14" s="164" t="s">
        <v>375</v>
      </c>
      <c r="H14" s="161"/>
      <c r="J14" s="160" t="s">
        <v>483</v>
      </c>
      <c r="K14" s="160" t="s">
        <v>484</v>
      </c>
      <c r="N14" s="160" t="s">
        <v>490</v>
      </c>
    </row>
    <row r="15" spans="1:17" x14ac:dyDescent="0.25">
      <c r="E15" s="4">
        <v>1</v>
      </c>
      <c r="F15" s="9">
        <v>8</v>
      </c>
      <c r="G15" s="5">
        <f t="shared" ref="G15:G24" si="0">$B$5*E15+$B$6*F15</f>
        <v>43</v>
      </c>
      <c r="H15" s="161"/>
      <c r="J15" s="31">
        <f>G15-E15*$J$9</f>
        <v>37.464409996836444</v>
      </c>
      <c r="K15" s="31">
        <f>F15-$K$9*E15</f>
        <v>7.492881999367289</v>
      </c>
      <c r="N15" s="31">
        <f>J15-K15*$N$9</f>
        <v>0</v>
      </c>
    </row>
    <row r="16" spans="1:17" x14ac:dyDescent="0.25">
      <c r="E16" s="4">
        <v>3</v>
      </c>
      <c r="F16" s="9">
        <v>3</v>
      </c>
      <c r="G16" s="5">
        <f t="shared" si="0"/>
        <v>24</v>
      </c>
      <c r="H16" s="161"/>
      <c r="J16" s="31">
        <f t="shared" ref="J16:J24" si="1">G16-E16*$J$9</f>
        <v>7.3932299905093295</v>
      </c>
      <c r="K16" s="31">
        <f t="shared" ref="K16:K24" si="2">F16-$K$9*E16</f>
        <v>1.4786459981018665</v>
      </c>
      <c r="N16" s="31">
        <f t="shared" ref="N16:N24" si="3">J16-K16*$N$9</f>
        <v>0</v>
      </c>
    </row>
    <row r="17" spans="1:14" x14ac:dyDescent="0.25">
      <c r="E17" s="4">
        <v>10</v>
      </c>
      <c r="F17" s="9">
        <v>10</v>
      </c>
      <c r="G17" s="5">
        <f t="shared" si="0"/>
        <v>80</v>
      </c>
      <c r="H17" s="161"/>
      <c r="J17" s="31">
        <f t="shared" si="1"/>
        <v>24.644099968364436</v>
      </c>
      <c r="K17" s="31">
        <f t="shared" si="2"/>
        <v>4.9288199936728887</v>
      </c>
      <c r="N17" s="31">
        <f t="shared" si="3"/>
        <v>0</v>
      </c>
    </row>
    <row r="18" spans="1:14" x14ac:dyDescent="0.25">
      <c r="E18" s="4">
        <v>11</v>
      </c>
      <c r="F18" s="9">
        <v>9</v>
      </c>
      <c r="G18" s="5">
        <f t="shared" si="0"/>
        <v>78</v>
      </c>
      <c r="H18" s="161"/>
      <c r="J18" s="31">
        <f t="shared" si="1"/>
        <v>17.108509965200881</v>
      </c>
      <c r="K18" s="31">
        <f t="shared" si="2"/>
        <v>3.4217019930401769</v>
      </c>
      <c r="N18" s="31">
        <f t="shared" si="3"/>
        <v>0</v>
      </c>
    </row>
    <row r="19" spans="1:14" x14ac:dyDescent="0.25">
      <c r="E19" s="4">
        <v>8</v>
      </c>
      <c r="F19" s="9">
        <v>12</v>
      </c>
      <c r="G19" s="5">
        <f t="shared" si="0"/>
        <v>84</v>
      </c>
      <c r="H19" s="161"/>
      <c r="J19" s="31">
        <f t="shared" si="1"/>
        <v>39.715279974691548</v>
      </c>
      <c r="K19" s="31">
        <f t="shared" si="2"/>
        <v>7.9430559949383106</v>
      </c>
      <c r="N19" s="31">
        <f t="shared" si="3"/>
        <v>0</v>
      </c>
    </row>
    <row r="20" spans="1:14" x14ac:dyDescent="0.25">
      <c r="E20" s="4">
        <v>7</v>
      </c>
      <c r="F20" s="9">
        <v>6</v>
      </c>
      <c r="G20" s="5">
        <f t="shared" si="0"/>
        <v>51</v>
      </c>
      <c r="H20" s="161"/>
      <c r="J20" s="31">
        <f t="shared" si="1"/>
        <v>12.250869977855103</v>
      </c>
      <c r="K20" s="31">
        <f t="shared" si="2"/>
        <v>2.4501739955710216</v>
      </c>
      <c r="N20" s="31">
        <f t="shared" si="3"/>
        <v>0</v>
      </c>
    </row>
    <row r="21" spans="1:14" x14ac:dyDescent="0.25">
      <c r="E21" s="4">
        <v>4</v>
      </c>
      <c r="F21" s="9">
        <v>7</v>
      </c>
      <c r="G21" s="5">
        <f t="shared" si="0"/>
        <v>47</v>
      </c>
      <c r="H21" s="161"/>
      <c r="J21" s="31">
        <f t="shared" si="1"/>
        <v>24.857639987345774</v>
      </c>
      <c r="K21" s="31">
        <f t="shared" si="2"/>
        <v>4.9715279974691553</v>
      </c>
      <c r="N21" s="31">
        <f t="shared" si="3"/>
        <v>0</v>
      </c>
    </row>
    <row r="22" spans="1:14" x14ac:dyDescent="0.25">
      <c r="E22" s="4">
        <v>0</v>
      </c>
      <c r="F22" s="9">
        <v>2</v>
      </c>
      <c r="G22" s="5">
        <f t="shared" si="0"/>
        <v>10</v>
      </c>
      <c r="H22" s="161"/>
      <c r="J22" s="31">
        <f t="shared" si="1"/>
        <v>10</v>
      </c>
      <c r="K22" s="31">
        <f t="shared" si="2"/>
        <v>2</v>
      </c>
      <c r="N22" s="31">
        <f t="shared" si="3"/>
        <v>0</v>
      </c>
    </row>
    <row r="23" spans="1:14" x14ac:dyDescent="0.25">
      <c r="E23" s="4">
        <v>15</v>
      </c>
      <c r="F23" s="9">
        <v>10</v>
      </c>
      <c r="G23" s="5">
        <f t="shared" si="0"/>
        <v>95</v>
      </c>
      <c r="H23" s="161"/>
      <c r="J23" s="31">
        <f t="shared" si="1"/>
        <v>11.966149952546658</v>
      </c>
      <c r="K23" s="31">
        <f t="shared" si="2"/>
        <v>2.3932299905093322</v>
      </c>
      <c r="N23" s="31">
        <f t="shared" si="3"/>
        <v>0</v>
      </c>
    </row>
    <row r="24" spans="1:14" ht="15.75" thickBot="1" x14ac:dyDescent="0.3">
      <c r="E24" s="6">
        <v>18</v>
      </c>
      <c r="F24" s="10">
        <v>14</v>
      </c>
      <c r="G24" s="182">
        <f t="shared" si="0"/>
        <v>124</v>
      </c>
      <c r="H24" s="161"/>
      <c r="J24" s="31">
        <f t="shared" si="1"/>
        <v>24.359379943055984</v>
      </c>
      <c r="K24" s="31">
        <f t="shared" si="2"/>
        <v>4.8718759886111993</v>
      </c>
      <c r="N24" s="31">
        <f t="shared" si="3"/>
        <v>0</v>
      </c>
    </row>
    <row r="25" spans="1:14" ht="15.75" thickTop="1" x14ac:dyDescent="0.25"/>
    <row r="29" spans="1:14" x14ac:dyDescent="0.25">
      <c r="A29" s="292" t="s">
        <v>631</v>
      </c>
      <c r="B29" s="292"/>
      <c r="C29" s="292"/>
      <c r="D29" s="292"/>
      <c r="E29" s="292"/>
      <c r="F29" s="292"/>
      <c r="G29" s="292"/>
      <c r="H29" s="292"/>
      <c r="I29" s="292"/>
    </row>
    <row r="30" spans="1:14" ht="15.75" thickBot="1" x14ac:dyDescent="0.3"/>
    <row r="31" spans="1:14" ht="15.75" thickTop="1" x14ac:dyDescent="0.25">
      <c r="C31" s="215" t="s">
        <v>486</v>
      </c>
      <c r="D31" s="216" t="s">
        <v>487</v>
      </c>
      <c r="E31" s="217" t="s">
        <v>375</v>
      </c>
      <c r="K31" s="249" t="s">
        <v>375</v>
      </c>
    </row>
    <row r="32" spans="1:14" x14ac:dyDescent="0.25">
      <c r="C32" s="4">
        <v>1</v>
      </c>
      <c r="D32" s="9">
        <v>8</v>
      </c>
      <c r="E32" s="5">
        <f t="shared" ref="E32:E41" si="4">$B$5*C32+$B$6*D32</f>
        <v>43</v>
      </c>
      <c r="K32" s="250">
        <f>E32</f>
        <v>43</v>
      </c>
    </row>
    <row r="33" spans="3:20" x14ac:dyDescent="0.25">
      <c r="C33" s="4">
        <v>3</v>
      </c>
      <c r="D33" s="9">
        <v>3</v>
      </c>
      <c r="E33" s="5">
        <f t="shared" si="4"/>
        <v>24</v>
      </c>
      <c r="K33" s="250">
        <f t="shared" ref="K33:K41" si="5">E33</f>
        <v>24</v>
      </c>
    </row>
    <row r="34" spans="3:20" x14ac:dyDescent="0.25">
      <c r="C34" s="4">
        <v>10</v>
      </c>
      <c r="D34" s="9">
        <v>10</v>
      </c>
      <c r="E34" s="5">
        <f t="shared" si="4"/>
        <v>80</v>
      </c>
      <c r="K34" s="250">
        <f t="shared" si="5"/>
        <v>80</v>
      </c>
    </row>
    <row r="35" spans="3:20" x14ac:dyDescent="0.25">
      <c r="C35" s="4">
        <v>11</v>
      </c>
      <c r="D35" s="9">
        <v>9</v>
      </c>
      <c r="E35" s="5">
        <f t="shared" si="4"/>
        <v>78</v>
      </c>
      <c r="K35" s="250">
        <f t="shared" si="5"/>
        <v>78</v>
      </c>
    </row>
    <row r="36" spans="3:20" x14ac:dyDescent="0.25">
      <c r="C36" s="4">
        <v>8</v>
      </c>
      <c r="D36" s="9">
        <v>12</v>
      </c>
      <c r="E36" s="5">
        <f t="shared" si="4"/>
        <v>84</v>
      </c>
      <c r="K36" s="250">
        <f t="shared" si="5"/>
        <v>84</v>
      </c>
    </row>
    <row r="37" spans="3:20" x14ac:dyDescent="0.25">
      <c r="C37" s="4">
        <v>7</v>
      </c>
      <c r="D37" s="9">
        <v>6</v>
      </c>
      <c r="E37" s="5">
        <f t="shared" si="4"/>
        <v>51</v>
      </c>
      <c r="K37" s="250">
        <f t="shared" si="5"/>
        <v>51</v>
      </c>
    </row>
    <row r="38" spans="3:20" x14ac:dyDescent="0.25">
      <c r="C38" s="4">
        <v>4</v>
      </c>
      <c r="D38" s="9">
        <v>7</v>
      </c>
      <c r="E38" s="5">
        <f t="shared" si="4"/>
        <v>47</v>
      </c>
      <c r="K38" s="250">
        <f t="shared" si="5"/>
        <v>47</v>
      </c>
    </row>
    <row r="39" spans="3:20" x14ac:dyDescent="0.25">
      <c r="C39" s="4">
        <v>0</v>
      </c>
      <c r="D39" s="9">
        <v>2</v>
      </c>
      <c r="E39" s="5">
        <f t="shared" si="4"/>
        <v>10</v>
      </c>
      <c r="K39" s="250">
        <f t="shared" si="5"/>
        <v>10</v>
      </c>
    </row>
    <row r="40" spans="3:20" x14ac:dyDescent="0.25">
      <c r="C40" s="4">
        <v>15</v>
      </c>
      <c r="D40" s="9">
        <v>10</v>
      </c>
      <c r="E40" s="5">
        <f t="shared" si="4"/>
        <v>95</v>
      </c>
      <c r="K40" s="250">
        <f t="shared" si="5"/>
        <v>95</v>
      </c>
    </row>
    <row r="41" spans="3:20" ht="15.75" thickBot="1" x14ac:dyDescent="0.3">
      <c r="C41" s="6">
        <v>18</v>
      </c>
      <c r="D41" s="10">
        <v>14</v>
      </c>
      <c r="E41" s="182">
        <f t="shared" si="4"/>
        <v>124</v>
      </c>
      <c r="K41" s="251">
        <f t="shared" si="5"/>
        <v>124</v>
      </c>
    </row>
    <row r="42" spans="3:20" ht="15.75" thickTop="1" x14ac:dyDescent="0.25"/>
    <row r="43" spans="3:20" x14ac:dyDescent="0.25">
      <c r="O43" s="218"/>
      <c r="P43" s="218"/>
      <c r="Q43" s="218"/>
      <c r="R43" s="218"/>
      <c r="S43" s="218"/>
      <c r="T43" s="218"/>
    </row>
    <row r="44" spans="3:20" x14ac:dyDescent="0.25">
      <c r="C44" s="271" t="s">
        <v>639</v>
      </c>
      <c r="D44" s="271"/>
      <c r="E44" s="271"/>
      <c r="F44" s="271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</row>
    <row r="45" spans="3:20" ht="15.75" thickBot="1" x14ac:dyDescent="0.3">
      <c r="C45" t="s">
        <v>638</v>
      </c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</row>
    <row r="46" spans="3:20" ht="15.75" thickTop="1" x14ac:dyDescent="0.25">
      <c r="C46" s="228" t="s">
        <v>486</v>
      </c>
      <c r="D46" s="229">
        <v>1</v>
      </c>
      <c r="E46" s="229">
        <v>3</v>
      </c>
      <c r="F46" s="229">
        <v>10</v>
      </c>
      <c r="G46" s="229">
        <v>11</v>
      </c>
      <c r="H46" s="229">
        <v>8</v>
      </c>
      <c r="I46" s="229">
        <v>7</v>
      </c>
      <c r="J46" s="229">
        <v>4</v>
      </c>
      <c r="K46" s="229">
        <v>0</v>
      </c>
      <c r="L46" s="229">
        <v>15</v>
      </c>
      <c r="M46" s="230">
        <v>18</v>
      </c>
      <c r="N46" s="218"/>
      <c r="O46" s="218"/>
      <c r="P46" s="218"/>
      <c r="Q46" s="218"/>
      <c r="R46" s="218"/>
      <c r="S46" s="218"/>
      <c r="T46" s="218"/>
    </row>
    <row r="47" spans="3:20" x14ac:dyDescent="0.25">
      <c r="C47" s="52" t="s">
        <v>487</v>
      </c>
      <c r="D47" s="227">
        <v>8</v>
      </c>
      <c r="E47" s="227">
        <v>3</v>
      </c>
      <c r="F47" s="227">
        <v>10</v>
      </c>
      <c r="G47" s="227">
        <v>9</v>
      </c>
      <c r="H47" s="227">
        <v>12</v>
      </c>
      <c r="I47" s="227">
        <v>6</v>
      </c>
      <c r="J47" s="227">
        <v>7</v>
      </c>
      <c r="K47" s="227">
        <v>2</v>
      </c>
      <c r="L47" s="227">
        <v>10</v>
      </c>
      <c r="M47" s="231">
        <v>14</v>
      </c>
      <c r="N47" s="218"/>
      <c r="O47" s="218"/>
      <c r="P47" s="218"/>
      <c r="Q47" s="218"/>
      <c r="R47" s="218"/>
      <c r="S47" s="218"/>
      <c r="T47" s="218"/>
    </row>
    <row r="48" spans="3:20" ht="15.75" thickBot="1" x14ac:dyDescent="0.3">
      <c r="C48" s="75" t="s">
        <v>478</v>
      </c>
      <c r="D48" s="225">
        <v>1</v>
      </c>
      <c r="E48" s="225">
        <v>1</v>
      </c>
      <c r="F48" s="225">
        <v>1</v>
      </c>
      <c r="G48" s="225">
        <v>1</v>
      </c>
      <c r="H48" s="225">
        <v>1</v>
      </c>
      <c r="I48" s="225">
        <v>1</v>
      </c>
      <c r="J48" s="225">
        <v>1</v>
      </c>
      <c r="K48" s="225">
        <v>1</v>
      </c>
      <c r="L48" s="225">
        <v>1</v>
      </c>
      <c r="M48" s="219">
        <v>1</v>
      </c>
      <c r="N48" s="226"/>
      <c r="O48" s="226"/>
      <c r="P48" s="226"/>
      <c r="Q48" s="226"/>
      <c r="R48" s="226"/>
      <c r="S48" s="226"/>
      <c r="T48" s="226"/>
    </row>
    <row r="49" spans="3:27" ht="15.75" thickTop="1" x14ac:dyDescent="0.25"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</row>
    <row r="50" spans="3:27" x14ac:dyDescent="0.25">
      <c r="C50" s="271" t="s">
        <v>640</v>
      </c>
      <c r="D50" s="271"/>
      <c r="E50" s="226"/>
      <c r="F50" s="218"/>
      <c r="G50" s="271" t="s">
        <v>641</v>
      </c>
      <c r="H50" s="271"/>
      <c r="I50" s="271"/>
      <c r="J50" s="218"/>
      <c r="K50" s="271" t="s">
        <v>642</v>
      </c>
      <c r="L50" s="271"/>
      <c r="M50" s="226"/>
      <c r="N50" s="218"/>
      <c r="O50" s="271" t="s">
        <v>643</v>
      </c>
      <c r="P50" s="271"/>
      <c r="Q50" s="271"/>
      <c r="R50" s="271"/>
      <c r="S50" s="218"/>
      <c r="T50" s="218"/>
      <c r="U50" s="218"/>
      <c r="V50" s="218"/>
      <c r="W50" s="218"/>
      <c r="Z50" s="271" t="s">
        <v>644</v>
      </c>
      <c r="AA50" s="271"/>
    </row>
    <row r="51" spans="3:27" ht="18" thickBot="1" x14ac:dyDescent="0.3">
      <c r="C51" s="218" t="s">
        <v>632</v>
      </c>
      <c r="D51" s="218"/>
      <c r="E51" s="226"/>
      <c r="F51" s="218"/>
      <c r="G51" s="218" t="s">
        <v>633</v>
      </c>
      <c r="H51" s="218"/>
      <c r="I51" s="226"/>
      <c r="J51" s="218"/>
      <c r="K51" s="218" t="s">
        <v>634</v>
      </c>
      <c r="L51" s="218"/>
      <c r="M51" s="226"/>
      <c r="N51" s="218"/>
      <c r="O51" s="218" t="s">
        <v>637</v>
      </c>
      <c r="P51" s="218"/>
      <c r="Q51" s="218"/>
      <c r="R51" s="218"/>
      <c r="S51" s="218"/>
      <c r="T51" s="218"/>
      <c r="U51" s="218"/>
      <c r="V51" s="218"/>
      <c r="W51" s="218"/>
      <c r="Z51" s="271" t="s">
        <v>645</v>
      </c>
      <c r="AA51" s="271"/>
    </row>
    <row r="52" spans="3:27" ht="16.5" thickTop="1" thickBot="1" x14ac:dyDescent="0.3">
      <c r="C52" s="228" t="s">
        <v>486</v>
      </c>
      <c r="D52" s="229" t="s">
        <v>487</v>
      </c>
      <c r="E52" s="230" t="s">
        <v>478</v>
      </c>
      <c r="F52" s="218"/>
      <c r="G52" s="218"/>
      <c r="H52" s="218"/>
      <c r="I52" s="226"/>
      <c r="J52" s="218"/>
      <c r="K52" s="218"/>
      <c r="L52" s="218"/>
      <c r="M52" s="226"/>
      <c r="N52" s="218"/>
      <c r="O52" s="218"/>
      <c r="P52" s="218"/>
      <c r="Q52" s="218"/>
      <c r="R52" s="218"/>
      <c r="S52" s="218"/>
      <c r="T52" s="218"/>
      <c r="U52" s="218"/>
      <c r="V52" s="218"/>
      <c r="W52" s="218"/>
    </row>
    <row r="53" spans="3:27" ht="15.75" thickTop="1" x14ac:dyDescent="0.25">
      <c r="C53" s="52">
        <v>1</v>
      </c>
      <c r="D53" s="227">
        <v>8</v>
      </c>
      <c r="E53" s="231">
        <v>1</v>
      </c>
      <c r="F53" s="218"/>
      <c r="G53" s="228">
        <f>SUMPRODUCT($C$53:$C$62,C53:C62)</f>
        <v>909</v>
      </c>
      <c r="H53" s="229">
        <f>SUMPRODUCT($C$53:$C$62,D53:D62)</f>
        <v>784</v>
      </c>
      <c r="I53" s="230">
        <f>SUMPRODUCT($C$53:$C$62,E53:E62)</f>
        <v>77</v>
      </c>
      <c r="J53" s="218"/>
      <c r="K53" s="228">
        <f t="array" ref="K53:M55">MINVERSE(G53:I55)</f>
        <v>8.8021086217659646E-3</v>
      </c>
      <c r="L53" s="229">
        <v>-1.1118818062010115E-2</v>
      </c>
      <c r="M53" s="230">
        <v>2.2286189914684021E-2</v>
      </c>
      <c r="N53" s="218"/>
      <c r="O53" s="228">
        <f t="shared" ref="O53:X55" si="6">$K53*D$46+$L53*D$47+$M53*D$48</f>
        <v>-5.7862245959630937E-2</v>
      </c>
      <c r="P53" s="229">
        <f t="shared" si="6"/>
        <v>1.533606159395157E-2</v>
      </c>
      <c r="Q53" s="229">
        <f t="shared" si="6"/>
        <v>-8.8090448775748897E-4</v>
      </c>
      <c r="R53" s="229">
        <f t="shared" si="6"/>
        <v>1.9040022196018594E-2</v>
      </c>
      <c r="S53" s="229">
        <f t="shared" si="6"/>
        <v>-4.0722757855309641E-2</v>
      </c>
      <c r="T53" s="229">
        <f t="shared" si="6"/>
        <v>1.7188041894985087E-2</v>
      </c>
      <c r="U53" s="229">
        <f t="shared" si="6"/>
        <v>-2.0337102032322918E-2</v>
      </c>
      <c r="V53" s="229">
        <f t="shared" si="6"/>
        <v>4.8553790663791174E-5</v>
      </c>
      <c r="W53" s="229">
        <f t="shared" si="6"/>
        <v>4.312963862107233E-2</v>
      </c>
      <c r="X53" s="230">
        <f t="shared" si="6"/>
        <v>2.5060692238329782E-2</v>
      </c>
      <c r="Z53" s="237">
        <f>O53*$E$32+P53*$E$33+Q53*$E$34+R53*$E$35+S53*$E$36+T53*$E$37+U53*$E$38+V53*$E$39+W53*$E$40+X53*$E$41</f>
        <v>3.0000000000000129</v>
      </c>
      <c r="AA53" s="238" t="s">
        <v>476</v>
      </c>
    </row>
    <row r="54" spans="3:27" x14ac:dyDescent="0.25">
      <c r="C54" s="52">
        <v>3</v>
      </c>
      <c r="D54" s="227">
        <v>3</v>
      </c>
      <c r="E54" s="231">
        <v>1</v>
      </c>
      <c r="F54" s="218"/>
      <c r="G54" s="52">
        <f>SUMPRODUCT($D$53:$D$62,C53:C62)</f>
        <v>784</v>
      </c>
      <c r="H54" s="227">
        <f>SUMPRODUCT($D$53:$D$62,D53:D62)</f>
        <v>783</v>
      </c>
      <c r="I54" s="231">
        <f>SUMPRODUCT($D$53:$D$62,E53:E62)</f>
        <v>81</v>
      </c>
      <c r="J54" s="218"/>
      <c r="K54" s="52">
        <v>-1.1118818062010117E-2</v>
      </c>
      <c r="L54" s="227">
        <v>2.1925504612610097E-2</v>
      </c>
      <c r="M54" s="231">
        <v>-9.1981688284663882E-2</v>
      </c>
      <c r="N54" s="218"/>
      <c r="O54" s="52">
        <f t="shared" si="6"/>
        <v>7.2303530554206769E-2</v>
      </c>
      <c r="P54" s="227">
        <f t="shared" si="6"/>
        <v>-5.9561628632863947E-2</v>
      </c>
      <c r="Q54" s="227">
        <f t="shared" si="6"/>
        <v>1.6085177221335928E-2</v>
      </c>
      <c r="R54" s="227">
        <f t="shared" si="6"/>
        <v>-1.6959145453284308E-2</v>
      </c>
      <c r="S54" s="227">
        <f t="shared" si="6"/>
        <v>8.2173822570576344E-2</v>
      </c>
      <c r="T54" s="227">
        <f t="shared" si="6"/>
        <v>-3.8260387043074121E-2</v>
      </c>
      <c r="U54" s="227">
        <f t="shared" si="6"/>
        <v>1.7021571755566345E-2</v>
      </c>
      <c r="V54" s="227">
        <f t="shared" si="6"/>
        <v>-4.8130679059443689E-2</v>
      </c>
      <c r="W54" s="227">
        <f t="shared" si="6"/>
        <v>-3.9508913088714653E-2</v>
      </c>
      <c r="X54" s="231">
        <f t="shared" si="6"/>
        <v>1.4836651175695381E-2</v>
      </c>
      <c r="Z54" s="239">
        <f>O54*$E$32+P54*$E$33+Q54*$E$34+R54*$E$35+S54*$E$36+T54*$E$37+U54*$E$38+V54*$E$39+W54*$E$40+X54*$E$41</f>
        <v>5.0000000000000027</v>
      </c>
      <c r="AA54" s="240" t="s">
        <v>477</v>
      </c>
    </row>
    <row r="55" spans="3:27" ht="15.75" thickBot="1" x14ac:dyDescent="0.3">
      <c r="C55" s="52">
        <v>10</v>
      </c>
      <c r="D55" s="227">
        <v>10</v>
      </c>
      <c r="E55" s="231">
        <v>1</v>
      </c>
      <c r="F55" s="218"/>
      <c r="G55" s="75">
        <f>SUMPRODUCT($E$53:$E$62,C53:C62)</f>
        <v>77</v>
      </c>
      <c r="H55" s="225">
        <f>SUMPRODUCT($E$53:$E$62,D53:D62)</f>
        <v>81</v>
      </c>
      <c r="I55" s="219">
        <f>SUMPRODUCT($E$53:$E$62,E53:E62)</f>
        <v>10</v>
      </c>
      <c r="J55" s="218"/>
      <c r="K55" s="75">
        <v>2.2286189914684028E-2</v>
      </c>
      <c r="L55" s="225">
        <v>-9.1981688284663896E-2</v>
      </c>
      <c r="M55" s="219">
        <v>0.67344801276271049</v>
      </c>
      <c r="O55" s="75">
        <f t="shared" si="6"/>
        <v>-4.0119303599916667E-2</v>
      </c>
      <c r="P55" s="225">
        <f t="shared" si="6"/>
        <v>0.46436151765277089</v>
      </c>
      <c r="Q55" s="225">
        <f t="shared" si="6"/>
        <v>-2.3506970937088201E-2</v>
      </c>
      <c r="R55" s="225">
        <f t="shared" si="6"/>
        <v>9.0760907262259716E-2</v>
      </c>
      <c r="S55" s="225">
        <f t="shared" si="6"/>
        <v>-0.25204272733578392</v>
      </c>
      <c r="T55" s="225">
        <f t="shared" si="6"/>
        <v>0.27756121245751531</v>
      </c>
      <c r="U55" s="225">
        <f t="shared" si="6"/>
        <v>0.11872095442879937</v>
      </c>
      <c r="V55" s="225">
        <f t="shared" si="6"/>
        <v>0.48948463619338267</v>
      </c>
      <c r="W55" s="225">
        <f t="shared" si="6"/>
        <v>8.7923978636331945E-2</v>
      </c>
      <c r="X55" s="219">
        <f t="shared" si="6"/>
        <v>-0.21314420475827145</v>
      </c>
      <c r="Z55" s="241">
        <f>O55*$E$32+P55*$E$33+Q55*$E$34+R55*$E$35+S55*$E$36+T55*$E$37+U55*$E$38+V55*$E$39+W55*$E$40+X55*$E$41</f>
        <v>0</v>
      </c>
      <c r="AA55" s="242" t="s">
        <v>478</v>
      </c>
    </row>
    <row r="56" spans="3:27" ht="15.75" thickTop="1" x14ac:dyDescent="0.25">
      <c r="C56" s="52">
        <v>11</v>
      </c>
      <c r="D56" s="227">
        <v>9</v>
      </c>
      <c r="E56" s="231">
        <v>1</v>
      </c>
      <c r="I56" s="226"/>
      <c r="M56" s="226"/>
      <c r="R56" s="218"/>
      <c r="S56" s="218"/>
      <c r="T56" s="218"/>
      <c r="U56" s="218"/>
      <c r="V56" s="218"/>
    </row>
    <row r="57" spans="3:27" x14ac:dyDescent="0.25">
      <c r="C57" s="52">
        <v>8</v>
      </c>
      <c r="D57" s="227">
        <v>12</v>
      </c>
      <c r="E57" s="231">
        <v>1</v>
      </c>
      <c r="I57" s="226"/>
      <c r="K57" s="220" t="s">
        <v>635</v>
      </c>
      <c r="P57" s="218"/>
      <c r="Q57" s="218"/>
      <c r="R57" s="218"/>
      <c r="S57" s="218"/>
      <c r="T57" s="218"/>
      <c r="U57" s="218"/>
    </row>
    <row r="58" spans="3:27" x14ac:dyDescent="0.25">
      <c r="C58" s="52">
        <v>7</v>
      </c>
      <c r="D58" s="227">
        <v>6</v>
      </c>
      <c r="E58" s="231">
        <v>1</v>
      </c>
      <c r="I58" s="226"/>
      <c r="K58" s="221" t="s">
        <v>636</v>
      </c>
      <c r="P58" s="218"/>
      <c r="Q58" s="218"/>
      <c r="R58" s="218"/>
      <c r="S58" s="218"/>
      <c r="T58" s="218"/>
      <c r="U58" s="218"/>
    </row>
    <row r="59" spans="3:27" x14ac:dyDescent="0.25">
      <c r="C59" s="52">
        <v>4</v>
      </c>
      <c r="D59" s="227">
        <v>7</v>
      </c>
      <c r="E59" s="231">
        <v>1</v>
      </c>
      <c r="I59" s="226"/>
      <c r="P59" s="218"/>
      <c r="Q59" s="218"/>
      <c r="R59" s="218"/>
      <c r="S59" s="218"/>
      <c r="T59" s="218"/>
      <c r="U59" s="218"/>
    </row>
    <row r="60" spans="3:27" x14ac:dyDescent="0.25">
      <c r="C60" s="52">
        <v>0</v>
      </c>
      <c r="D60" s="227">
        <v>2</v>
      </c>
      <c r="E60" s="231">
        <v>1</v>
      </c>
      <c r="I60" s="226"/>
      <c r="P60" s="218"/>
      <c r="Q60" s="218"/>
      <c r="R60" s="218"/>
      <c r="S60" s="218"/>
      <c r="T60" s="218"/>
      <c r="U60" s="218"/>
    </row>
    <row r="61" spans="3:27" x14ac:dyDescent="0.25">
      <c r="C61" s="52">
        <v>15</v>
      </c>
      <c r="D61" s="227">
        <v>10</v>
      </c>
      <c r="E61" s="231">
        <v>1</v>
      </c>
      <c r="I61" s="226"/>
      <c r="P61" s="218"/>
      <c r="Q61" s="218"/>
      <c r="R61" s="218"/>
      <c r="S61" s="218"/>
      <c r="T61" s="218"/>
      <c r="U61" s="218"/>
    </row>
    <row r="62" spans="3:27" ht="15.75" thickBot="1" x14ac:dyDescent="0.3">
      <c r="C62" s="75">
        <v>18</v>
      </c>
      <c r="D62" s="225">
        <v>14</v>
      </c>
      <c r="E62" s="219">
        <v>1</v>
      </c>
      <c r="I62" s="226"/>
      <c r="P62" s="218"/>
      <c r="Q62" s="218"/>
      <c r="R62" s="218"/>
      <c r="S62" s="218"/>
      <c r="T62" s="218"/>
      <c r="U62" s="218"/>
    </row>
    <row r="63" spans="3:27" ht="15.75" thickTop="1" x14ac:dyDescent="0.25">
      <c r="N63" s="218"/>
      <c r="O63" s="218"/>
      <c r="P63" s="218"/>
      <c r="Q63" s="218"/>
      <c r="R63" s="218"/>
      <c r="S63" s="218"/>
    </row>
    <row r="64" spans="3:27" x14ac:dyDescent="0.25">
      <c r="N64" s="218"/>
      <c r="O64" s="218"/>
      <c r="P64" s="218"/>
      <c r="Q64" s="218"/>
      <c r="R64" s="218"/>
      <c r="S64" s="218"/>
    </row>
    <row r="65" spans="14:19" x14ac:dyDescent="0.25">
      <c r="N65" s="218"/>
      <c r="O65" s="218"/>
      <c r="P65" s="218"/>
      <c r="Q65" s="218"/>
      <c r="R65" s="218"/>
      <c r="S65" s="218"/>
    </row>
  </sheetData>
  <mergeCells count="11">
    <mergeCell ref="J4:K4"/>
    <mergeCell ref="J13:K13"/>
    <mergeCell ref="A2:I2"/>
    <mergeCell ref="A29:I29"/>
    <mergeCell ref="C44:F44"/>
    <mergeCell ref="Z51:AA51"/>
    <mergeCell ref="O50:R50"/>
    <mergeCell ref="C50:D50"/>
    <mergeCell ref="K50:L50"/>
    <mergeCell ref="Z50:AA50"/>
    <mergeCell ref="G50:I50"/>
  </mergeCells>
  <hyperlinks>
    <hyperlink ref="K58" r:id="rId1"/>
  </hyperlinks>
  <pageMargins left="0.7" right="0.7" top="0.75" bottom="0.75" header="0.3" footer="0.3"/>
  <pageSetup orientation="portrait" horizontalDpi="300" verticalDpi="30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showGridLines="0" zoomScale="130" zoomScaleNormal="130" workbookViewId="0">
      <selection activeCell="C3" sqref="C3"/>
    </sheetView>
  </sheetViews>
  <sheetFormatPr defaultRowHeight="15" x14ac:dyDescent="0.25"/>
  <cols>
    <col min="1" max="1" width="25.7109375" customWidth="1"/>
    <col min="2" max="8" width="6.42578125" customWidth="1"/>
    <col min="9" max="11" width="8" customWidth="1"/>
    <col min="12" max="12" width="6.7109375" bestFit="1" customWidth="1"/>
    <col min="13" max="14" width="8" customWidth="1"/>
  </cols>
  <sheetData>
    <row r="1" spans="1:14" x14ac:dyDescent="0.25">
      <c r="A1" s="264" t="s">
        <v>613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4" spans="1:14" ht="15.75" thickBot="1" x14ac:dyDescent="0.3"/>
    <row r="5" spans="1:14" ht="15.75" thickTop="1" x14ac:dyDescent="0.25">
      <c r="B5" s="147"/>
      <c r="C5" s="147"/>
      <c r="D5" s="147"/>
      <c r="E5" s="165"/>
      <c r="F5" s="166"/>
      <c r="G5" s="166"/>
      <c r="H5" s="166"/>
      <c r="I5" s="166"/>
      <c r="J5" s="166"/>
      <c r="K5" s="166"/>
      <c r="L5" s="166"/>
      <c r="M5" s="166" t="s">
        <v>22</v>
      </c>
      <c r="N5" s="167" t="s">
        <v>469</v>
      </c>
    </row>
    <row r="6" spans="1:14" x14ac:dyDescent="0.25">
      <c r="A6" s="294" t="s">
        <v>551</v>
      </c>
      <c r="B6" s="294"/>
      <c r="C6" s="294"/>
      <c r="D6" s="295"/>
      <c r="E6" s="168" t="s">
        <v>486</v>
      </c>
      <c r="F6" s="169">
        <v>20</v>
      </c>
      <c r="G6" s="169">
        <v>18</v>
      </c>
      <c r="H6" s="169">
        <v>4</v>
      </c>
      <c r="I6" s="169">
        <v>15</v>
      </c>
      <c r="J6" s="169">
        <v>20</v>
      </c>
      <c r="K6" s="169">
        <v>14</v>
      </c>
      <c r="L6" s="169"/>
      <c r="M6" s="170">
        <f>AVERAGE(F6:K6)</f>
        <v>15.166666666666666</v>
      </c>
      <c r="N6" s="171">
        <f>_xlfn.STDEV.S(F6:K6)</f>
        <v>6.0138728508895705</v>
      </c>
    </row>
    <row r="7" spans="1:14" x14ac:dyDescent="0.25">
      <c r="A7" s="294" t="s">
        <v>552</v>
      </c>
      <c r="B7" s="294"/>
      <c r="C7" s="294"/>
      <c r="D7" s="295"/>
      <c r="E7" s="168" t="s">
        <v>487</v>
      </c>
      <c r="F7" s="169">
        <v>13</v>
      </c>
      <c r="G7" s="169">
        <v>9</v>
      </c>
      <c r="H7" s="169">
        <v>4</v>
      </c>
      <c r="I7" s="169">
        <v>10</v>
      </c>
      <c r="J7" s="169">
        <v>11</v>
      </c>
      <c r="K7" s="169">
        <v>9</v>
      </c>
      <c r="L7" s="169"/>
      <c r="M7" s="170">
        <f t="shared" ref="M7:M9" si="0">AVERAGE(F7:K7)</f>
        <v>9.3333333333333339</v>
      </c>
      <c r="N7" s="171">
        <f t="shared" ref="N7:N9" si="1">_xlfn.STDEV.S(F7:K7)</f>
        <v>3.0110906108363249</v>
      </c>
    </row>
    <row r="8" spans="1:14" x14ac:dyDescent="0.25">
      <c r="A8" s="294" t="s">
        <v>553</v>
      </c>
      <c r="B8" s="294"/>
      <c r="C8" s="294"/>
      <c r="D8" s="295"/>
      <c r="E8" s="168" t="s">
        <v>488</v>
      </c>
      <c r="F8" s="169">
        <v>14</v>
      </c>
      <c r="G8" s="169">
        <v>11</v>
      </c>
      <c r="H8" s="169">
        <v>8</v>
      </c>
      <c r="I8" s="169">
        <v>6</v>
      </c>
      <c r="J8" s="169">
        <v>13</v>
      </c>
      <c r="K8" s="169">
        <v>12</v>
      </c>
      <c r="L8" s="169"/>
      <c r="M8" s="170">
        <f t="shared" si="0"/>
        <v>10.666666666666666</v>
      </c>
      <c r="N8" s="171">
        <f t="shared" si="1"/>
        <v>3.0767948691238214</v>
      </c>
    </row>
    <row r="9" spans="1:14" ht="15.75" thickBot="1" x14ac:dyDescent="0.3">
      <c r="A9" s="294" t="s">
        <v>554</v>
      </c>
      <c r="B9" s="294"/>
      <c r="C9" s="294"/>
      <c r="D9" s="295"/>
      <c r="E9" s="172" t="s">
        <v>375</v>
      </c>
      <c r="F9" s="173">
        <f>2*F6+3*F7-5*F8+7</f>
        <v>16</v>
      </c>
      <c r="G9" s="173">
        <f>2*G6+3*G7-5*G8+7</f>
        <v>15</v>
      </c>
      <c r="H9" s="173">
        <f>2*H6+3*H7-5*H8+7</f>
        <v>-13</v>
      </c>
      <c r="I9" s="173">
        <f>2*I6+3*I7-5*I8+7</f>
        <v>37</v>
      </c>
      <c r="J9" s="173">
        <f t="shared" ref="J9:K9" si="2">2*J6+3*J7-5*J8+7</f>
        <v>15</v>
      </c>
      <c r="K9" s="173">
        <f t="shared" si="2"/>
        <v>2</v>
      </c>
      <c r="L9" s="173"/>
      <c r="M9" s="174">
        <f t="shared" si="0"/>
        <v>12</v>
      </c>
      <c r="N9" s="175">
        <f t="shared" si="1"/>
        <v>16.637307474468336</v>
      </c>
    </row>
    <row r="10" spans="1:14" ht="15.75" thickTop="1" x14ac:dyDescent="0.25">
      <c r="A10" s="128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31"/>
      <c r="N10" s="31"/>
    </row>
    <row r="11" spans="1:14" ht="15.75" thickBot="1" x14ac:dyDescent="0.3">
      <c r="B11" s="147" t="s">
        <v>31</v>
      </c>
      <c r="C11" s="147" t="s">
        <v>489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 t="s">
        <v>22</v>
      </c>
      <c r="N11" s="147" t="s">
        <v>469</v>
      </c>
    </row>
    <row r="12" spans="1:14" ht="16.5" thickTop="1" thickBot="1" x14ac:dyDescent="0.3">
      <c r="A12" s="293" t="s">
        <v>494</v>
      </c>
      <c r="B12" s="35">
        <f>CORREL(F6:K6,F9:K9)</f>
        <v>0.65764058802431602</v>
      </c>
      <c r="C12" s="178">
        <f>B12*N9/N6</f>
        <v>1.8193548387096778</v>
      </c>
      <c r="D12" s="177" t="s">
        <v>555</v>
      </c>
      <c r="E12" s="147" t="s">
        <v>483</v>
      </c>
      <c r="F12" s="176">
        <f>F9-$C12*F$6</f>
        <v>-20.387096774193559</v>
      </c>
      <c r="G12" s="176">
        <f t="shared" ref="G12:K12" si="3">G9-$C12*G$6</f>
        <v>-17.748387096774202</v>
      </c>
      <c r="H12" s="176">
        <f t="shared" si="3"/>
        <v>-20.277419354838713</v>
      </c>
      <c r="I12" s="176">
        <f t="shared" si="3"/>
        <v>9.7096774193548328</v>
      </c>
      <c r="J12" s="176">
        <f t="shared" si="3"/>
        <v>-21.387096774193559</v>
      </c>
      <c r="K12" s="176">
        <f t="shared" si="3"/>
        <v>-23.470967741935489</v>
      </c>
      <c r="L12" s="147"/>
      <c r="M12" s="31">
        <f>AVERAGE(F12:K12)</f>
        <v>-15.59354838709678</v>
      </c>
      <c r="N12" s="31">
        <f>_xlfn.STDEV.S(F12:K12)</f>
        <v>12.533413406287346</v>
      </c>
    </row>
    <row r="13" spans="1:14" ht="16.5" thickTop="1" thickBot="1" x14ac:dyDescent="0.3">
      <c r="A13" s="293"/>
      <c r="B13" s="35">
        <f>CORREL($F$6:$K$6,F7:K7)</f>
        <v>0.93511363851793994</v>
      </c>
      <c r="C13" s="178">
        <f>B13*N7/$N$6</f>
        <v>0.46820276497695867</v>
      </c>
      <c r="D13" s="177" t="s">
        <v>556</v>
      </c>
      <c r="E13" s="147" t="s">
        <v>484</v>
      </c>
      <c r="F13" s="176">
        <f t="shared" ref="F13:K14" si="4">F7-$C13*F$6</f>
        <v>3.6359447004608256</v>
      </c>
      <c r="G13" s="176">
        <f t="shared" si="4"/>
        <v>0.57235023041474342</v>
      </c>
      <c r="H13" s="176">
        <f t="shared" si="4"/>
        <v>2.1271889400921653</v>
      </c>
      <c r="I13" s="176">
        <f t="shared" si="4"/>
        <v>2.9769585253456201</v>
      </c>
      <c r="J13" s="176">
        <f t="shared" si="4"/>
        <v>1.6359447004608256</v>
      </c>
      <c r="K13" s="176">
        <f t="shared" si="4"/>
        <v>2.445161290322579</v>
      </c>
      <c r="L13" s="147"/>
      <c r="M13" s="31">
        <f t="shared" ref="M13:M14" si="5">AVERAGE(F13:K13)</f>
        <v>2.2322580645161265</v>
      </c>
      <c r="N13" s="31">
        <f t="shared" ref="N13:N14" si="6">_xlfn.STDEV.S(F13:K13)</f>
        <v>1.0669738420990005</v>
      </c>
    </row>
    <row r="14" spans="1:14" ht="16.5" thickTop="1" thickBot="1" x14ac:dyDescent="0.3">
      <c r="A14" s="293"/>
      <c r="B14" s="35">
        <f>CORREL($F$6:$K$6,F8:K8)</f>
        <v>0.61970414848373601</v>
      </c>
      <c r="C14" s="178">
        <f>B14*N8/$N$6</f>
        <v>0.31705069124423985</v>
      </c>
      <c r="D14" s="177" t="s">
        <v>557</v>
      </c>
      <c r="E14" s="147" t="s">
        <v>485</v>
      </c>
      <c r="F14" s="176">
        <f t="shared" si="4"/>
        <v>7.6589861751152029</v>
      </c>
      <c r="G14" s="176">
        <f t="shared" si="4"/>
        <v>5.2930875576036831</v>
      </c>
      <c r="H14" s="176">
        <f t="shared" si="4"/>
        <v>6.7317972350230404</v>
      </c>
      <c r="I14" s="176">
        <f t="shared" si="4"/>
        <v>1.2442396313364021</v>
      </c>
      <c r="J14" s="176">
        <f t="shared" si="4"/>
        <v>6.6589861751152029</v>
      </c>
      <c r="K14" s="176">
        <f t="shared" si="4"/>
        <v>7.5612903225806418</v>
      </c>
      <c r="L14" s="147"/>
      <c r="M14" s="31">
        <f t="shared" si="5"/>
        <v>5.858064516129029</v>
      </c>
      <c r="N14" s="31">
        <f t="shared" si="6"/>
        <v>2.414777851839113</v>
      </c>
    </row>
    <row r="15" spans="1:14" ht="15.75" thickTop="1" x14ac:dyDescent="0.25">
      <c r="E15" s="147"/>
      <c r="F15" s="176"/>
      <c r="G15" s="176"/>
      <c r="H15" s="176"/>
      <c r="I15" s="176"/>
      <c r="J15" s="176"/>
      <c r="K15" s="176"/>
    </row>
    <row r="16" spans="1:14" ht="15.75" thickBot="1" x14ac:dyDescent="0.3">
      <c r="B16" s="147" t="s">
        <v>31</v>
      </c>
      <c r="C16" s="147" t="s">
        <v>489</v>
      </c>
      <c r="D16" s="147"/>
      <c r="E16" s="147"/>
      <c r="F16" s="176"/>
      <c r="G16" s="176"/>
      <c r="H16" s="176"/>
      <c r="I16" s="176"/>
      <c r="J16" s="176"/>
      <c r="K16" s="176"/>
      <c r="M16" s="147" t="s">
        <v>22</v>
      </c>
      <c r="N16" s="147" t="s">
        <v>469</v>
      </c>
    </row>
    <row r="17" spans="1:14" ht="16.5" thickTop="1" thickBot="1" x14ac:dyDescent="0.3">
      <c r="A17" s="293" t="s">
        <v>493</v>
      </c>
      <c r="B17" s="35">
        <f>CORREL(F13:K13,F12:K12)</f>
        <v>0.26862373987383942</v>
      </c>
      <c r="C17" s="178">
        <f>B17*N12/N13</f>
        <v>3.1554404145077752</v>
      </c>
      <c r="D17" s="177" t="s">
        <v>558</v>
      </c>
      <c r="E17" s="147" t="s">
        <v>490</v>
      </c>
      <c r="F17" s="176">
        <f>F12-$C17*F$13</f>
        <v>-31.860103626943015</v>
      </c>
      <c r="G17" s="176">
        <f t="shared" ref="G17:K17" si="7">G12-$C17*G$13</f>
        <v>-19.554404145077722</v>
      </c>
      <c r="H17" s="176">
        <f>H12-$C17*H$13</f>
        <v>-26.989637305699489</v>
      </c>
      <c r="I17" s="176">
        <f t="shared" si="7"/>
        <v>0.31606217616579357</v>
      </c>
      <c r="J17" s="176">
        <f t="shared" si="7"/>
        <v>-26.549222797927463</v>
      </c>
      <c r="K17" s="176">
        <f t="shared" si="7"/>
        <v>-31.186528497409334</v>
      </c>
      <c r="M17" s="31">
        <f>AVERAGE(F17:K17)</f>
        <v>-22.637305699481871</v>
      </c>
      <c r="N17" s="31">
        <f>_xlfn.STDEV.S(F17:K17)</f>
        <v>12.07275011489874</v>
      </c>
    </row>
    <row r="18" spans="1:14" ht="16.5" thickTop="1" thickBot="1" x14ac:dyDescent="0.3">
      <c r="A18" s="293"/>
      <c r="B18" s="35">
        <f>CORREL($F13:$K13,F14:K14)</f>
        <v>-1.3736324122610973E-2</v>
      </c>
      <c r="C18" s="178">
        <f>B18*N14/N13</f>
        <v>-3.1088082901554938E-2</v>
      </c>
      <c r="D18" s="177" t="s">
        <v>559</v>
      </c>
      <c r="E18" s="147" t="s">
        <v>491</v>
      </c>
      <c r="F18" s="176">
        <f>F14-$C18*F$13</f>
        <v>7.7720207253885984</v>
      </c>
      <c r="G18" s="176">
        <f t="shared" ref="G18:K18" si="8">G14-$C18*G$13</f>
        <v>5.3108808290155407</v>
      </c>
      <c r="H18" s="176">
        <f>H14-$C18*H$13</f>
        <v>6.7979274611398965</v>
      </c>
      <c r="I18" s="176">
        <f t="shared" si="8"/>
        <v>1.3367875647668375</v>
      </c>
      <c r="J18" s="176">
        <f t="shared" si="8"/>
        <v>6.7098445595854885</v>
      </c>
      <c r="K18" s="176">
        <f t="shared" si="8"/>
        <v>7.6373056994818631</v>
      </c>
      <c r="M18" s="31">
        <f t="shared" ref="M18" si="9">AVERAGE(F18:K18)</f>
        <v>5.9274611398963701</v>
      </c>
      <c r="N18" s="31">
        <f t="shared" ref="N18" si="10">_xlfn.STDEV.S(F18:K18)</f>
        <v>2.4145500229797499</v>
      </c>
    </row>
    <row r="19" spans="1:14" ht="15.75" thickTop="1" x14ac:dyDescent="0.25">
      <c r="A19" s="125"/>
      <c r="E19" s="147"/>
      <c r="F19" s="147"/>
      <c r="G19" s="147"/>
      <c r="H19" s="147"/>
      <c r="I19" s="147"/>
      <c r="J19" s="147"/>
      <c r="K19" s="147"/>
      <c r="M19" s="31"/>
      <c r="N19" s="31"/>
    </row>
    <row r="20" spans="1:14" ht="15.75" thickBot="1" x14ac:dyDescent="0.3">
      <c r="B20" s="147" t="s">
        <v>31</v>
      </c>
      <c r="C20" s="147" t="s">
        <v>489</v>
      </c>
      <c r="E20" s="147"/>
      <c r="F20" s="147"/>
      <c r="G20" s="147"/>
      <c r="H20" s="147"/>
      <c r="I20" s="147"/>
      <c r="J20" s="147"/>
      <c r="K20" s="147"/>
    </row>
    <row r="21" spans="1:14" ht="16.5" thickTop="1" thickBot="1" x14ac:dyDescent="0.3">
      <c r="A21" s="128" t="s">
        <v>492</v>
      </c>
      <c r="B21" s="35">
        <f>CORREL(F17:K17,F18:K18)</f>
        <v>-1</v>
      </c>
      <c r="C21" s="178">
        <f>B21*N17/N18</f>
        <v>-4.9999999999999964</v>
      </c>
      <c r="D21" s="177" t="s">
        <v>560</v>
      </c>
      <c r="E21" s="147" t="s">
        <v>495</v>
      </c>
      <c r="F21" s="147">
        <f>F17-F18*$C$21</f>
        <v>6.9999999999999503</v>
      </c>
      <c r="G21" s="147">
        <f t="shared" ref="G21:K21" si="11">G17-G18*$C$21</f>
        <v>6.9999999999999609</v>
      </c>
      <c r="H21" s="147">
        <f t="shared" si="11"/>
        <v>6.9999999999999716</v>
      </c>
      <c r="I21" s="147">
        <f t="shared" si="11"/>
        <v>6.999999999999976</v>
      </c>
      <c r="J21" s="147">
        <f t="shared" si="11"/>
        <v>6.9999999999999574</v>
      </c>
      <c r="K21" s="147">
        <f t="shared" si="11"/>
        <v>6.9999999999999574</v>
      </c>
    </row>
    <row r="22" spans="1:14" ht="15.75" thickTop="1" x14ac:dyDescent="0.25"/>
    <row r="23" spans="1:14" ht="15.75" thickBot="1" x14ac:dyDescent="0.3">
      <c r="B23" s="158"/>
      <c r="C23" s="158"/>
    </row>
    <row r="24" spans="1:14" ht="20.25" thickTop="1" thickBot="1" x14ac:dyDescent="0.35">
      <c r="B24" s="207" t="s">
        <v>476</v>
      </c>
      <c r="C24" s="208">
        <f>C12-C17*C13-C21*C14+C21*C18*C13</f>
        <v>1.9999999999999998</v>
      </c>
    </row>
    <row r="25" spans="1:14" ht="20.25" thickTop="1" thickBot="1" x14ac:dyDescent="0.35">
      <c r="B25" s="207" t="s">
        <v>477</v>
      </c>
      <c r="C25" s="208">
        <f>C17-C18*C21</f>
        <v>3.0000000000000009</v>
      </c>
    </row>
    <row r="26" spans="1:14" ht="20.25" thickTop="1" thickBot="1" x14ac:dyDescent="0.35">
      <c r="B26" s="207" t="s">
        <v>550</v>
      </c>
      <c r="C26" s="208">
        <f>C21</f>
        <v>-4.9999999999999964</v>
      </c>
    </row>
    <row r="27" spans="1:14" ht="15.75" thickTop="1" x14ac:dyDescent="0.25">
      <c r="B27" s="209"/>
      <c r="C27" s="210"/>
    </row>
    <row r="28" spans="1:14" ht="19.5" thickBot="1" x14ac:dyDescent="0.35">
      <c r="B28" s="211" t="s">
        <v>478</v>
      </c>
      <c r="C28" s="212">
        <f>M9-C24*M6-C25*M7-C26*M8</f>
        <v>6.9999999999999503</v>
      </c>
    </row>
    <row r="29" spans="1:14" ht="15.75" thickTop="1" x14ac:dyDescent="0.25"/>
    <row r="34" spans="1:9" x14ac:dyDescent="0.25">
      <c r="A34" s="292" t="s">
        <v>631</v>
      </c>
      <c r="B34" s="292"/>
      <c r="C34" s="292"/>
      <c r="D34" s="292"/>
      <c r="E34" s="292"/>
      <c r="F34" s="292"/>
      <c r="G34" s="292"/>
      <c r="H34" s="292"/>
      <c r="I34" s="292"/>
    </row>
    <row r="36" spans="1:9" ht="15.75" thickBot="1" x14ac:dyDescent="0.3"/>
    <row r="37" spans="1:9" ht="15.75" thickTop="1" x14ac:dyDescent="0.25">
      <c r="B37" s="246" t="s">
        <v>646</v>
      </c>
      <c r="C37" s="247"/>
      <c r="D37" s="247"/>
      <c r="E37" s="247"/>
      <c r="F37" s="247"/>
      <c r="G37" s="247"/>
      <c r="H37" s="248"/>
    </row>
    <row r="38" spans="1:9" x14ac:dyDescent="0.25">
      <c r="B38" s="52" t="str">
        <f>E6</f>
        <v>x1</v>
      </c>
      <c r="C38" s="244">
        <f t="shared" ref="C38:H40" si="12">F6</f>
        <v>20</v>
      </c>
      <c r="D38" s="244">
        <f t="shared" si="12"/>
        <v>18</v>
      </c>
      <c r="E38" s="244">
        <f t="shared" si="12"/>
        <v>4</v>
      </c>
      <c r="F38" s="244">
        <f t="shared" si="12"/>
        <v>15</v>
      </c>
      <c r="G38" s="244">
        <f t="shared" si="12"/>
        <v>20</v>
      </c>
      <c r="H38" s="245">
        <f t="shared" si="12"/>
        <v>14</v>
      </c>
    </row>
    <row r="39" spans="1:9" x14ac:dyDescent="0.25">
      <c r="B39" s="52" t="str">
        <f t="shared" ref="B39:B40" si="13">E7</f>
        <v>x2</v>
      </c>
      <c r="C39" s="244">
        <f t="shared" si="12"/>
        <v>13</v>
      </c>
      <c r="D39" s="244">
        <f t="shared" si="12"/>
        <v>9</v>
      </c>
      <c r="E39" s="244">
        <f t="shared" si="12"/>
        <v>4</v>
      </c>
      <c r="F39" s="244">
        <f t="shared" si="12"/>
        <v>10</v>
      </c>
      <c r="G39" s="244">
        <f t="shared" si="12"/>
        <v>11</v>
      </c>
      <c r="H39" s="245">
        <f t="shared" si="12"/>
        <v>9</v>
      </c>
    </row>
    <row r="40" spans="1:9" x14ac:dyDescent="0.25">
      <c r="B40" s="52" t="str">
        <f t="shared" si="13"/>
        <v>x3</v>
      </c>
      <c r="C40" s="244">
        <f t="shared" si="12"/>
        <v>14</v>
      </c>
      <c r="D40" s="244">
        <f t="shared" si="12"/>
        <v>11</v>
      </c>
      <c r="E40" s="244">
        <f t="shared" si="12"/>
        <v>8</v>
      </c>
      <c r="F40" s="244">
        <f t="shared" si="12"/>
        <v>6</v>
      </c>
      <c r="G40" s="244">
        <f t="shared" si="12"/>
        <v>13</v>
      </c>
      <c r="H40" s="245">
        <f t="shared" si="12"/>
        <v>12</v>
      </c>
    </row>
    <row r="41" spans="1:9" ht="15.75" thickBot="1" x14ac:dyDescent="0.3">
      <c r="B41" s="75" t="s">
        <v>478</v>
      </c>
      <c r="C41" s="243">
        <v>1</v>
      </c>
      <c r="D41" s="243">
        <v>1</v>
      </c>
      <c r="E41" s="243">
        <v>1</v>
      </c>
      <c r="F41" s="243">
        <v>1</v>
      </c>
      <c r="G41" s="243">
        <v>1</v>
      </c>
      <c r="H41" s="219">
        <v>1</v>
      </c>
    </row>
    <row r="42" spans="1:9" ht="15.75" thickTop="1" x14ac:dyDescent="0.25"/>
    <row r="43" spans="1:9" ht="15.75" thickBot="1" x14ac:dyDescent="0.3">
      <c r="B43" s="270" t="s">
        <v>647</v>
      </c>
      <c r="C43" s="270"/>
      <c r="D43" s="270"/>
      <c r="E43" s="270"/>
    </row>
    <row r="44" spans="1:9" ht="15.75" thickTop="1" x14ac:dyDescent="0.25">
      <c r="B44" s="246" t="s">
        <v>486</v>
      </c>
      <c r="C44" s="247" t="s">
        <v>487</v>
      </c>
      <c r="D44" s="247" t="s">
        <v>488</v>
      </c>
      <c r="E44" s="248" t="s">
        <v>478</v>
      </c>
      <c r="F44" s="244"/>
      <c r="H44" s="222" t="s">
        <v>375</v>
      </c>
    </row>
    <row r="45" spans="1:9" x14ac:dyDescent="0.25">
      <c r="B45" s="52">
        <v>20</v>
      </c>
      <c r="C45" s="244">
        <v>13</v>
      </c>
      <c r="D45" s="244">
        <v>14</v>
      </c>
      <c r="E45" s="245">
        <v>1</v>
      </c>
      <c r="F45" s="244"/>
      <c r="H45" s="223">
        <v>16</v>
      </c>
    </row>
    <row r="46" spans="1:9" x14ac:dyDescent="0.25">
      <c r="B46" s="52">
        <v>18</v>
      </c>
      <c r="C46" s="244">
        <v>9</v>
      </c>
      <c r="D46" s="244">
        <v>11</v>
      </c>
      <c r="E46" s="245">
        <v>1</v>
      </c>
      <c r="F46" s="244"/>
      <c r="H46" s="223">
        <v>15</v>
      </c>
    </row>
    <row r="47" spans="1:9" x14ac:dyDescent="0.25">
      <c r="B47" s="52">
        <v>4</v>
      </c>
      <c r="C47" s="244">
        <v>4</v>
      </c>
      <c r="D47" s="244">
        <v>8</v>
      </c>
      <c r="E47" s="245">
        <v>1</v>
      </c>
      <c r="F47" s="244"/>
      <c r="H47" s="223">
        <v>-13</v>
      </c>
    </row>
    <row r="48" spans="1:9" x14ac:dyDescent="0.25">
      <c r="B48" s="52">
        <v>15</v>
      </c>
      <c r="C48" s="244">
        <v>10</v>
      </c>
      <c r="D48" s="244">
        <v>6</v>
      </c>
      <c r="E48" s="245">
        <v>1</v>
      </c>
      <c r="F48" s="244"/>
      <c r="H48" s="223">
        <v>37</v>
      </c>
    </row>
    <row r="49" spans="2:22" x14ac:dyDescent="0.25">
      <c r="B49" s="52">
        <v>20</v>
      </c>
      <c r="C49" s="244">
        <v>11</v>
      </c>
      <c r="D49" s="244">
        <v>13</v>
      </c>
      <c r="E49" s="245">
        <v>1</v>
      </c>
      <c r="F49" s="244"/>
      <c r="H49" s="223">
        <v>15</v>
      </c>
    </row>
    <row r="50" spans="2:22" ht="15.75" thickBot="1" x14ac:dyDescent="0.3">
      <c r="B50" s="75">
        <v>14</v>
      </c>
      <c r="C50" s="243">
        <v>9</v>
      </c>
      <c r="D50" s="243">
        <v>12</v>
      </c>
      <c r="E50" s="219">
        <v>1</v>
      </c>
      <c r="F50" s="244"/>
      <c r="H50" s="224">
        <v>2</v>
      </c>
    </row>
    <row r="51" spans="2:22" ht="15.75" thickTop="1" x14ac:dyDescent="0.25"/>
    <row r="53" spans="2:22" x14ac:dyDescent="0.25">
      <c r="B53" s="271" t="s">
        <v>641</v>
      </c>
      <c r="C53" s="271"/>
      <c r="D53" s="271"/>
      <c r="E53" s="271"/>
      <c r="I53" s="271" t="s">
        <v>642</v>
      </c>
      <c r="J53" s="271"/>
      <c r="K53" s="271"/>
      <c r="L53" s="271"/>
      <c r="N53" s="271" t="s">
        <v>643</v>
      </c>
      <c r="O53" s="271"/>
      <c r="P53" s="271"/>
      <c r="Q53" s="271"/>
      <c r="R53" s="271"/>
      <c r="S53" s="271"/>
      <c r="U53" s="271" t="s">
        <v>644</v>
      </c>
      <c r="V53" s="271"/>
    </row>
    <row r="54" spans="2:22" ht="17.25" x14ac:dyDescent="0.25">
      <c r="B54" s="218" t="s">
        <v>633</v>
      </c>
      <c r="C54" s="218"/>
      <c r="I54" s="271" t="s">
        <v>634</v>
      </c>
      <c r="J54" s="271"/>
      <c r="K54" s="271"/>
      <c r="L54" s="271"/>
      <c r="N54" s="271" t="s">
        <v>637</v>
      </c>
      <c r="O54" s="271"/>
      <c r="P54" s="271"/>
      <c r="Q54" s="271"/>
      <c r="R54" s="271"/>
      <c r="S54" s="271"/>
      <c r="U54" s="271" t="s">
        <v>645</v>
      </c>
      <c r="V54" s="271"/>
    </row>
    <row r="55" spans="2:22" ht="6.75" customHeight="1" thickBot="1" x14ac:dyDescent="0.3"/>
    <row r="56" spans="2:22" ht="15.75" thickTop="1" x14ac:dyDescent="0.25">
      <c r="B56" s="246">
        <f>$C38*B$45+$D38*B$46+$E38*B$47+$F38*B$48+$G38*B$49+$H38*B$50</f>
        <v>1561</v>
      </c>
      <c r="C56" s="247">
        <f>$C38*C$45+$D38*C$46+$E38*C$47+$F38*C$48+$G38*C$49+$H38*C$50</f>
        <v>934</v>
      </c>
      <c r="D56" s="247">
        <f>$C38*D$45+$D38*D$46+$E38*D$47+$F38*D$48+$G38*D$49+$H38*D$50</f>
        <v>1028</v>
      </c>
      <c r="E56" s="248">
        <f>$C38*E$45+$D38*E$46+$E38*E$47+$F38*E$48+$G38*E$49+$H38*E$50</f>
        <v>91</v>
      </c>
      <c r="F56" s="23"/>
      <c r="I56" s="252">
        <f t="array" ref="I56:L59">MINVERSE(B56:E59)</f>
        <v>4.7813722004977022E-2</v>
      </c>
      <c r="J56" s="253">
        <v>-8.2607536437966866E-2</v>
      </c>
      <c r="K56" s="253">
        <v>-1.1375755421258307E-2</v>
      </c>
      <c r="L56" s="254">
        <v>0.16717028083896113</v>
      </c>
      <c r="N56" s="232">
        <f t="shared" ref="N56:S59" si="14">$I56*C$38+$J56*C$39+$K56*C$40+$L56*C$41</f>
        <v>-0.10971382865268398</v>
      </c>
      <c r="O56" s="233">
        <f t="shared" si="14"/>
        <v>0.15921613935300438</v>
      </c>
      <c r="P56" s="233">
        <f t="shared" si="14"/>
        <v>-6.301102026306471E-2</v>
      </c>
      <c r="Q56" s="233">
        <f t="shared" si="14"/>
        <v>-9.9537859936020545E-3</v>
      </c>
      <c r="R56" s="233">
        <f t="shared" si="14"/>
        <v>6.6876999644507995E-2</v>
      </c>
      <c r="S56" s="234">
        <f t="shared" si="14"/>
        <v>-4.3414504088161998E-2</v>
      </c>
      <c r="U56" s="261">
        <f>N56*H$45+O56*H$46+P56*H$47+Q56*H$48+R56*H$49+S56*H$50</f>
        <v>1.9999999999999836</v>
      </c>
      <c r="V56" s="248" t="s">
        <v>476</v>
      </c>
    </row>
    <row r="57" spans="2:22" x14ac:dyDescent="0.25">
      <c r="B57" s="52">
        <f t="shared" ref="B57:E58" si="15">$C39*B$45+$D39*B$46+$E39*B$47+$F39*B$48+$G39*B$49+$H39*B$50</f>
        <v>934</v>
      </c>
      <c r="C57" s="244">
        <f t="shared" si="15"/>
        <v>568</v>
      </c>
      <c r="D57" s="244">
        <f t="shared" si="15"/>
        <v>624</v>
      </c>
      <c r="E57" s="245">
        <f t="shared" si="15"/>
        <v>56</v>
      </c>
      <c r="F57" s="23"/>
      <c r="I57" s="255">
        <v>-8.2607536437966853E-2</v>
      </c>
      <c r="J57" s="256">
        <v>0.17571320654105996</v>
      </c>
      <c r="K57" s="256">
        <v>1.0664770707427065E-3</v>
      </c>
      <c r="L57" s="257">
        <v>-0.39848471382865086</v>
      </c>
      <c r="N57" s="235">
        <f t="shared" si="14"/>
        <v>0.24856692143618936</v>
      </c>
      <c r="O57" s="37">
        <f t="shared" si="14"/>
        <v>-0.29227026306434467</v>
      </c>
      <c r="P57" s="37">
        <f t="shared" si="14"/>
        <v>-1.7530216850336788E-2</v>
      </c>
      <c r="Q57" s="37">
        <f t="shared" si="14"/>
        <v>0.12593316743690203</v>
      </c>
      <c r="R57" s="37">
        <f t="shared" si="14"/>
        <v>-0.1039259687166732</v>
      </c>
      <c r="S57" s="38">
        <f t="shared" si="14"/>
        <v>3.9226359758265328E-2</v>
      </c>
      <c r="U57" s="262">
        <f>N57*H$45+O57*H$46+P57*H$47+Q57*H$48+R57*H$49+S57*H$50</f>
        <v>3.0000000000000457</v>
      </c>
      <c r="V57" s="245" t="s">
        <v>477</v>
      </c>
    </row>
    <row r="58" spans="2:22" x14ac:dyDescent="0.25">
      <c r="B58" s="52">
        <f t="shared" si="15"/>
        <v>1028</v>
      </c>
      <c r="C58" s="244">
        <f t="shared" si="15"/>
        <v>624</v>
      </c>
      <c r="D58" s="244">
        <f t="shared" si="15"/>
        <v>730</v>
      </c>
      <c r="E58" s="245">
        <f t="shared" si="15"/>
        <v>64</v>
      </c>
      <c r="F58" s="23"/>
      <c r="I58" s="255">
        <v>-1.1375755421258451E-2</v>
      </c>
      <c r="J58" s="256">
        <v>1.0664770707430535E-3</v>
      </c>
      <c r="K58" s="256">
        <v>3.4305012442232448E-2</v>
      </c>
      <c r="L58" s="257">
        <v>-0.20334162815499476</v>
      </c>
      <c r="N58" s="235">
        <f t="shared" si="14"/>
        <v>6.327763953075019E-2</v>
      </c>
      <c r="O58" s="37">
        <f t="shared" si="14"/>
        <v>-2.1151795236402482E-2</v>
      </c>
      <c r="P58" s="37">
        <f t="shared" si="14"/>
        <v>2.9861357980803221E-2</v>
      </c>
      <c r="Q58" s="37">
        <f t="shared" si="14"/>
        <v>-0.1574831141130463</v>
      </c>
      <c r="R58" s="37">
        <f t="shared" si="14"/>
        <v>2.6839672947031629E-2</v>
      </c>
      <c r="S58" s="38">
        <f t="shared" si="14"/>
        <v>5.8656238890863827E-2</v>
      </c>
      <c r="U58" s="262">
        <f>N58*H$45+O58*H$46+P58*H$47+Q58*H$48+R58*H$49+S58*H$50</f>
        <v>-4.9999999999999876</v>
      </c>
      <c r="V58" s="245" t="s">
        <v>550</v>
      </c>
    </row>
    <row r="59" spans="2:22" ht="15.75" thickBot="1" x14ac:dyDescent="0.3">
      <c r="B59" s="75">
        <f>$C41*B$45+$D41*B$46+$E41*B$47+$F41*B$48+$G41*B$49+$H41*B$50</f>
        <v>91</v>
      </c>
      <c r="C59" s="243">
        <f>$C41*C$45+$D41*C$46+$E41*C$47+$F41*C$48+$G41*C$49+$H41*C$50</f>
        <v>56</v>
      </c>
      <c r="D59" s="243">
        <f>$C41*D$45+$D41*D$46+$E41*D$47+$F41*D$48+$G41*D$49+$H41*D$50</f>
        <v>64</v>
      </c>
      <c r="E59" s="219">
        <f>$C41*E$45+$D41*E$46+$E41*E$47+$F41*E$48+$G41*E$49+$H41*E$50</f>
        <v>6</v>
      </c>
      <c r="I59" s="258">
        <v>0.16717028083896271</v>
      </c>
      <c r="J59" s="259">
        <v>-0.39848471382865475</v>
      </c>
      <c r="K59" s="259">
        <v>-0.20334162815499365</v>
      </c>
      <c r="L59" s="260">
        <v>3.5194187699964417</v>
      </c>
      <c r="N59" s="236">
        <f t="shared" si="14"/>
        <v>-1.1642596871667275</v>
      </c>
      <c r="O59" s="39">
        <f t="shared" si="14"/>
        <v>0.70536349093494755</v>
      </c>
      <c r="P59" s="39">
        <f t="shared" si="14"/>
        <v>0.96742801279772417</v>
      </c>
      <c r="Q59" s="39">
        <f t="shared" si="14"/>
        <v>0.82207607536437299</v>
      </c>
      <c r="R59" s="39">
        <f t="shared" si="14"/>
        <v>-0.16394863135442428</v>
      </c>
      <c r="S59" s="40">
        <f t="shared" si="14"/>
        <v>-0.16665926057589697</v>
      </c>
      <c r="U59" s="263">
        <f>N59*H$45+O59*H$46+P59*H$47+Q59*H$48+R59*H$49+S59*H$50</f>
        <v>6.9999999999998046</v>
      </c>
      <c r="V59" s="219" t="s">
        <v>478</v>
      </c>
    </row>
    <row r="60" spans="2:22" ht="15.75" thickTop="1" x14ac:dyDescent="0.25"/>
  </sheetData>
  <mergeCells count="16">
    <mergeCell ref="A1:N1"/>
    <mergeCell ref="A12:A14"/>
    <mergeCell ref="A17:A18"/>
    <mergeCell ref="A6:D6"/>
    <mergeCell ref="A7:D7"/>
    <mergeCell ref="A8:D8"/>
    <mergeCell ref="A9:D9"/>
    <mergeCell ref="U53:V53"/>
    <mergeCell ref="U54:V54"/>
    <mergeCell ref="A34:I34"/>
    <mergeCell ref="B43:E43"/>
    <mergeCell ref="B53:E53"/>
    <mergeCell ref="I53:L53"/>
    <mergeCell ref="I54:L54"/>
    <mergeCell ref="N53:S53"/>
    <mergeCell ref="N54:S54"/>
  </mergeCell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="80" zoomScaleNormal="80" workbookViewId="0">
      <selection sqref="A1:N1"/>
    </sheetView>
  </sheetViews>
  <sheetFormatPr defaultRowHeight="15" x14ac:dyDescent="0.25"/>
  <sheetData>
    <row r="1" spans="1:14" x14ac:dyDescent="0.25">
      <c r="A1" s="264" t="s">
        <v>618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5" spans="1:14" x14ac:dyDescent="0.25">
      <c r="C5" s="183" t="s">
        <v>7</v>
      </c>
      <c r="D5" s="183" t="s">
        <v>569</v>
      </c>
      <c r="E5" t="s">
        <v>570</v>
      </c>
    </row>
    <row r="6" spans="1:14" x14ac:dyDescent="0.25">
      <c r="C6" s="183">
        <v>3</v>
      </c>
      <c r="D6" s="183">
        <v>29</v>
      </c>
      <c r="E6">
        <f>D6+100</f>
        <v>129</v>
      </c>
    </row>
    <row r="7" spans="1:14" x14ac:dyDescent="0.25">
      <c r="C7" s="183">
        <v>3</v>
      </c>
      <c r="D7" s="183">
        <v>36</v>
      </c>
      <c r="E7">
        <f t="shared" ref="E7:E26" si="0">D7+100</f>
        <v>136</v>
      </c>
    </row>
    <row r="8" spans="1:14" x14ac:dyDescent="0.25">
      <c r="C8" s="183">
        <v>6</v>
      </c>
      <c r="D8" s="183">
        <v>53</v>
      </c>
      <c r="E8">
        <f t="shared" si="0"/>
        <v>153</v>
      </c>
    </row>
    <row r="9" spans="1:14" x14ac:dyDescent="0.25">
      <c r="C9" s="183">
        <v>6</v>
      </c>
      <c r="D9" s="183">
        <v>50</v>
      </c>
      <c r="E9">
        <f t="shared" si="0"/>
        <v>150</v>
      </c>
    </row>
    <row r="10" spans="1:14" x14ac:dyDescent="0.25">
      <c r="C10" s="183">
        <v>1</v>
      </c>
      <c r="D10" s="183">
        <v>22</v>
      </c>
      <c r="E10">
        <f t="shared" si="0"/>
        <v>122</v>
      </c>
    </row>
    <row r="11" spans="1:14" x14ac:dyDescent="0.25">
      <c r="C11" s="183">
        <v>1</v>
      </c>
      <c r="D11" s="183">
        <v>29</v>
      </c>
      <c r="E11">
        <f t="shared" si="0"/>
        <v>129</v>
      </c>
    </row>
    <row r="12" spans="1:14" x14ac:dyDescent="0.25">
      <c r="C12" s="183">
        <v>9</v>
      </c>
      <c r="D12" s="183">
        <v>61</v>
      </c>
      <c r="E12">
        <f t="shared" si="0"/>
        <v>161</v>
      </c>
    </row>
    <row r="13" spans="1:14" x14ac:dyDescent="0.25">
      <c r="C13" s="183">
        <v>7</v>
      </c>
      <c r="D13" s="183">
        <v>61</v>
      </c>
      <c r="E13">
        <f t="shared" si="0"/>
        <v>161</v>
      </c>
    </row>
    <row r="14" spans="1:14" x14ac:dyDescent="0.25">
      <c r="C14" s="183">
        <v>2</v>
      </c>
      <c r="D14" s="183">
        <v>24</v>
      </c>
      <c r="E14">
        <f t="shared" si="0"/>
        <v>124</v>
      </c>
    </row>
    <row r="15" spans="1:14" x14ac:dyDescent="0.25">
      <c r="C15" s="183">
        <v>1</v>
      </c>
      <c r="D15" s="183">
        <v>22</v>
      </c>
      <c r="E15">
        <f t="shared" si="0"/>
        <v>122</v>
      </c>
    </row>
    <row r="16" spans="1:14" x14ac:dyDescent="0.25">
      <c r="C16" s="183">
        <v>2</v>
      </c>
      <c r="D16" s="183">
        <v>30</v>
      </c>
      <c r="E16">
        <f t="shared" si="0"/>
        <v>130</v>
      </c>
    </row>
    <row r="17" spans="3:5" x14ac:dyDescent="0.25">
      <c r="C17" s="183">
        <v>4</v>
      </c>
      <c r="D17" s="183">
        <v>44</v>
      </c>
      <c r="E17">
        <f t="shared" si="0"/>
        <v>144</v>
      </c>
    </row>
    <row r="18" spans="3:5" x14ac:dyDescent="0.25">
      <c r="C18" s="183">
        <v>6</v>
      </c>
      <c r="D18" s="183">
        <v>53</v>
      </c>
      <c r="E18">
        <f t="shared" si="0"/>
        <v>153</v>
      </c>
    </row>
    <row r="19" spans="3:5" x14ac:dyDescent="0.25">
      <c r="C19" s="183">
        <v>9</v>
      </c>
      <c r="D19" s="183">
        <v>68</v>
      </c>
      <c r="E19">
        <f t="shared" si="0"/>
        <v>168</v>
      </c>
    </row>
    <row r="20" spans="3:5" x14ac:dyDescent="0.25">
      <c r="C20" s="183">
        <v>10</v>
      </c>
      <c r="D20" s="183">
        <v>70</v>
      </c>
      <c r="E20">
        <f t="shared" si="0"/>
        <v>170</v>
      </c>
    </row>
    <row r="21" spans="3:5" x14ac:dyDescent="0.25">
      <c r="C21" s="183">
        <v>6</v>
      </c>
      <c r="D21" s="183">
        <v>54</v>
      </c>
      <c r="E21">
        <f t="shared" si="0"/>
        <v>154</v>
      </c>
    </row>
    <row r="22" spans="3:5" x14ac:dyDescent="0.25">
      <c r="C22" s="183">
        <v>6</v>
      </c>
      <c r="D22" s="183">
        <v>51</v>
      </c>
      <c r="E22">
        <f t="shared" si="0"/>
        <v>151</v>
      </c>
    </row>
    <row r="23" spans="3:5" x14ac:dyDescent="0.25">
      <c r="C23" s="183">
        <v>2</v>
      </c>
      <c r="D23" s="183">
        <v>32</v>
      </c>
      <c r="E23">
        <f t="shared" si="0"/>
        <v>132</v>
      </c>
    </row>
    <row r="24" spans="3:5" x14ac:dyDescent="0.25">
      <c r="C24" s="183">
        <v>8</v>
      </c>
      <c r="D24" s="183">
        <v>58</v>
      </c>
      <c r="E24">
        <f t="shared" si="0"/>
        <v>158</v>
      </c>
    </row>
    <row r="25" spans="3:5" x14ac:dyDescent="0.25">
      <c r="C25" s="183">
        <v>4</v>
      </c>
      <c r="D25" s="183">
        <v>40</v>
      </c>
      <c r="E25">
        <f t="shared" si="0"/>
        <v>140</v>
      </c>
    </row>
    <row r="26" spans="3:5" x14ac:dyDescent="0.25">
      <c r="C26" s="183">
        <v>3</v>
      </c>
      <c r="D26" s="183">
        <v>30</v>
      </c>
      <c r="E26">
        <f t="shared" si="0"/>
        <v>130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="70" zoomScaleNormal="70" workbookViewId="0">
      <selection activeCell="K59" sqref="K59"/>
    </sheetView>
  </sheetViews>
  <sheetFormatPr defaultRowHeight="15" x14ac:dyDescent="0.25"/>
  <sheetData>
    <row r="1" spans="1:14" x14ac:dyDescent="0.25">
      <c r="A1" s="264" t="s">
        <v>620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4" spans="1:14" x14ac:dyDescent="0.25">
      <c r="F4" t="s">
        <v>571</v>
      </c>
      <c r="G4">
        <f>CORREL(D11:D31,E11:E31)</f>
        <v>0.95657286415369525</v>
      </c>
    </row>
    <row r="5" spans="1:14" x14ac:dyDescent="0.25">
      <c r="F5" t="s">
        <v>32</v>
      </c>
      <c r="G5">
        <f>G4*E8/D8</f>
        <v>5.4348591549295771</v>
      </c>
    </row>
    <row r="6" spans="1:14" x14ac:dyDescent="0.25">
      <c r="F6" t="s">
        <v>33</v>
      </c>
      <c r="G6">
        <f>E7-G5*D7</f>
        <v>18.045187793427228</v>
      </c>
    </row>
    <row r="7" spans="1:14" x14ac:dyDescent="0.25">
      <c r="C7" t="s">
        <v>411</v>
      </c>
      <c r="D7">
        <f>AVERAGE(D11:D31)</f>
        <v>4.7142857142857144</v>
      </c>
      <c r="E7">
        <f>AVERAGE(E11:E31)</f>
        <v>43.666666666666664</v>
      </c>
    </row>
    <row r="8" spans="1:14" x14ac:dyDescent="0.25">
      <c r="C8" t="s">
        <v>469</v>
      </c>
      <c r="D8">
        <f>_xlfn.STDEV.S(D11:D31)</f>
        <v>2.8485585327118899</v>
      </c>
      <c r="E8">
        <f>_xlfn.STDEV.S(E11:E31)</f>
        <v>16.18435458500997</v>
      </c>
    </row>
    <row r="10" spans="1:14" x14ac:dyDescent="0.25">
      <c r="D10" s="183" t="s">
        <v>7</v>
      </c>
      <c r="E10" s="183" t="s">
        <v>569</v>
      </c>
      <c r="G10" t="s">
        <v>384</v>
      </c>
      <c r="J10" t="s">
        <v>99</v>
      </c>
    </row>
    <row r="11" spans="1:14" x14ac:dyDescent="0.25">
      <c r="D11" s="183">
        <v>3</v>
      </c>
      <c r="E11" s="183">
        <v>27</v>
      </c>
      <c r="G11">
        <f>E11-D11*$G$5</f>
        <v>10.695422535211268</v>
      </c>
      <c r="I11">
        <v>0</v>
      </c>
      <c r="J11">
        <f>I11*$G$5</f>
        <v>0</v>
      </c>
    </row>
    <row r="12" spans="1:14" x14ac:dyDescent="0.25">
      <c r="D12" s="183">
        <v>3</v>
      </c>
      <c r="E12" s="183">
        <v>35</v>
      </c>
      <c r="G12">
        <f t="shared" ref="G12:G31" si="0">E12-D12*$G$5</f>
        <v>18.695422535211268</v>
      </c>
      <c r="I12">
        <v>10</v>
      </c>
      <c r="J12">
        <f>I12*$G$5</f>
        <v>54.348591549295769</v>
      </c>
    </row>
    <row r="13" spans="1:14" x14ac:dyDescent="0.25">
      <c r="D13" s="183">
        <v>6</v>
      </c>
      <c r="E13" s="183">
        <v>51</v>
      </c>
      <c r="G13">
        <f t="shared" si="0"/>
        <v>18.390845070422536</v>
      </c>
    </row>
    <row r="14" spans="1:14" x14ac:dyDescent="0.25">
      <c r="D14" s="183">
        <v>6</v>
      </c>
      <c r="E14" s="183">
        <v>50</v>
      </c>
      <c r="G14">
        <f t="shared" si="0"/>
        <v>17.390845070422536</v>
      </c>
    </row>
    <row r="15" spans="1:14" x14ac:dyDescent="0.25">
      <c r="D15" s="183">
        <v>1</v>
      </c>
      <c r="E15" s="183">
        <v>24</v>
      </c>
      <c r="G15">
        <f t="shared" si="0"/>
        <v>18.565140845070424</v>
      </c>
    </row>
    <row r="16" spans="1:14" x14ac:dyDescent="0.25">
      <c r="D16" s="183">
        <v>1</v>
      </c>
      <c r="E16" s="183">
        <v>32</v>
      </c>
      <c r="G16">
        <f t="shared" si="0"/>
        <v>26.565140845070424</v>
      </c>
    </row>
    <row r="17" spans="4:7" x14ac:dyDescent="0.25">
      <c r="D17" s="183">
        <v>9</v>
      </c>
      <c r="E17" s="183">
        <v>59</v>
      </c>
      <c r="G17">
        <f t="shared" si="0"/>
        <v>10.086267605633807</v>
      </c>
    </row>
    <row r="18" spans="4:7" x14ac:dyDescent="0.25">
      <c r="D18" s="183">
        <v>7</v>
      </c>
      <c r="E18" s="183">
        <v>64</v>
      </c>
      <c r="G18">
        <f t="shared" si="0"/>
        <v>25.95598591549296</v>
      </c>
    </row>
    <row r="19" spans="4:7" x14ac:dyDescent="0.25">
      <c r="D19" s="183">
        <v>2</v>
      </c>
      <c r="E19" s="183">
        <v>23</v>
      </c>
      <c r="G19">
        <f t="shared" si="0"/>
        <v>12.130281690140846</v>
      </c>
    </row>
    <row r="20" spans="4:7" x14ac:dyDescent="0.25">
      <c r="D20" s="183">
        <v>1</v>
      </c>
      <c r="E20" s="183">
        <v>19</v>
      </c>
      <c r="G20">
        <f t="shared" si="0"/>
        <v>13.565140845070424</v>
      </c>
    </row>
    <row r="21" spans="4:7" x14ac:dyDescent="0.25">
      <c r="D21" s="183">
        <v>2</v>
      </c>
      <c r="E21" s="183">
        <v>28</v>
      </c>
      <c r="G21">
        <f t="shared" si="0"/>
        <v>17.130281690140848</v>
      </c>
    </row>
    <row r="22" spans="4:7" x14ac:dyDescent="0.25">
      <c r="D22" s="183">
        <v>4</v>
      </c>
      <c r="E22" s="183">
        <v>43</v>
      </c>
      <c r="G22">
        <f t="shared" si="0"/>
        <v>21.260563380281692</v>
      </c>
    </row>
    <row r="23" spans="4:7" x14ac:dyDescent="0.25">
      <c r="D23" s="183">
        <v>6</v>
      </c>
      <c r="E23" s="183">
        <v>56</v>
      </c>
      <c r="G23">
        <f t="shared" si="0"/>
        <v>23.390845070422536</v>
      </c>
    </row>
    <row r="24" spans="4:7" x14ac:dyDescent="0.25">
      <c r="D24" s="183">
        <v>9</v>
      </c>
      <c r="E24" s="183">
        <v>69</v>
      </c>
      <c r="G24">
        <f t="shared" si="0"/>
        <v>20.086267605633807</v>
      </c>
    </row>
    <row r="25" spans="4:7" x14ac:dyDescent="0.25">
      <c r="D25" s="183">
        <v>10</v>
      </c>
      <c r="E25" s="183">
        <v>72</v>
      </c>
      <c r="G25">
        <f t="shared" si="0"/>
        <v>17.651408450704231</v>
      </c>
    </row>
    <row r="26" spans="4:7" x14ac:dyDescent="0.25">
      <c r="D26" s="183">
        <v>6</v>
      </c>
      <c r="E26" s="183">
        <v>54</v>
      </c>
      <c r="G26">
        <f t="shared" si="0"/>
        <v>21.390845070422536</v>
      </c>
    </row>
    <row r="27" spans="4:7" x14ac:dyDescent="0.25">
      <c r="D27" s="183">
        <v>6</v>
      </c>
      <c r="E27" s="183">
        <v>52</v>
      </c>
      <c r="G27">
        <f t="shared" si="0"/>
        <v>19.390845070422536</v>
      </c>
    </row>
    <row r="28" spans="4:7" x14ac:dyDescent="0.25">
      <c r="D28" s="183">
        <v>2</v>
      </c>
      <c r="E28" s="183">
        <v>34</v>
      </c>
      <c r="G28">
        <f t="shared" si="0"/>
        <v>23.130281690140848</v>
      </c>
    </row>
    <row r="29" spans="4:7" x14ac:dyDescent="0.25">
      <c r="D29" s="183">
        <v>8</v>
      </c>
      <c r="E29" s="183">
        <v>58</v>
      </c>
      <c r="G29">
        <f t="shared" si="0"/>
        <v>14.521126760563384</v>
      </c>
    </row>
    <row r="30" spans="4:7" x14ac:dyDescent="0.25">
      <c r="D30" s="183">
        <v>4</v>
      </c>
      <c r="E30" s="183">
        <v>39</v>
      </c>
      <c r="G30">
        <f t="shared" si="0"/>
        <v>17.260563380281692</v>
      </c>
    </row>
    <row r="31" spans="4:7" x14ac:dyDescent="0.25">
      <c r="D31" s="183">
        <v>3</v>
      </c>
      <c r="E31" s="183">
        <v>28</v>
      </c>
      <c r="G31">
        <f t="shared" si="0"/>
        <v>11.695422535211268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showGridLines="0" zoomScale="70" zoomScaleNormal="70" workbookViewId="0">
      <selection sqref="A1:N1"/>
    </sheetView>
  </sheetViews>
  <sheetFormatPr defaultRowHeight="15" x14ac:dyDescent="0.25"/>
  <cols>
    <col min="2" max="2" width="21.140625" bestFit="1" customWidth="1"/>
    <col min="3" max="3" width="12.7109375" bestFit="1" customWidth="1"/>
  </cols>
  <sheetData>
    <row r="1" spans="1:14" x14ac:dyDescent="0.25">
      <c r="A1" s="264" t="s">
        <v>627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7" spans="1:14" x14ac:dyDescent="0.25">
      <c r="B7" t="s">
        <v>624</v>
      </c>
    </row>
    <row r="8" spans="1:14" x14ac:dyDescent="0.25">
      <c r="B8" s="185" t="s">
        <v>622</v>
      </c>
      <c r="C8">
        <v>100</v>
      </c>
    </row>
    <row r="13" spans="1:14" ht="45" x14ac:dyDescent="0.25">
      <c r="B13" s="186" t="s">
        <v>625</v>
      </c>
      <c r="C13" t="s">
        <v>626</v>
      </c>
    </row>
    <row r="14" spans="1:14" x14ac:dyDescent="0.25">
      <c r="B14" s="185" t="s">
        <v>623</v>
      </c>
    </row>
    <row r="15" spans="1:14" x14ac:dyDescent="0.25">
      <c r="B15" s="185">
        <v>1</v>
      </c>
      <c r="C15" s="19">
        <f>B15/($C$8-B15-1)</f>
        <v>1.020408163265306E-2</v>
      </c>
    </row>
    <row r="16" spans="1:14" x14ac:dyDescent="0.25">
      <c r="B16" s="185">
        <v>2</v>
      </c>
      <c r="C16" s="19">
        <f t="shared" ref="C16:C79" si="0">B16/($C$8-B16-1)</f>
        <v>2.0618556701030927E-2</v>
      </c>
    </row>
    <row r="17" spans="2:3" x14ac:dyDescent="0.25">
      <c r="B17" s="185">
        <v>3</v>
      </c>
      <c r="C17" s="19">
        <f t="shared" si="0"/>
        <v>3.125E-2</v>
      </c>
    </row>
    <row r="18" spans="2:3" x14ac:dyDescent="0.25">
      <c r="B18" s="185">
        <v>4</v>
      </c>
      <c r="C18" s="19">
        <f t="shared" si="0"/>
        <v>4.2105263157894736E-2</v>
      </c>
    </row>
    <row r="19" spans="2:3" x14ac:dyDescent="0.25">
      <c r="B19" s="185">
        <v>5</v>
      </c>
      <c r="C19" s="19">
        <f t="shared" si="0"/>
        <v>5.3191489361702128E-2</v>
      </c>
    </row>
    <row r="20" spans="2:3" x14ac:dyDescent="0.25">
      <c r="B20" s="185">
        <v>6</v>
      </c>
      <c r="C20" s="19">
        <f t="shared" si="0"/>
        <v>6.4516129032258063E-2</v>
      </c>
    </row>
    <row r="21" spans="2:3" x14ac:dyDescent="0.25">
      <c r="B21" s="185">
        <v>7</v>
      </c>
      <c r="C21" s="19">
        <f t="shared" si="0"/>
        <v>7.6086956521739135E-2</v>
      </c>
    </row>
    <row r="22" spans="2:3" x14ac:dyDescent="0.25">
      <c r="B22" s="185">
        <v>8</v>
      </c>
      <c r="C22" s="19">
        <f t="shared" si="0"/>
        <v>8.7912087912087919E-2</v>
      </c>
    </row>
    <row r="23" spans="2:3" x14ac:dyDescent="0.25">
      <c r="B23" s="185">
        <v>9</v>
      </c>
      <c r="C23" s="19">
        <f t="shared" si="0"/>
        <v>0.1</v>
      </c>
    </row>
    <row r="24" spans="2:3" x14ac:dyDescent="0.25">
      <c r="B24" s="185">
        <v>10</v>
      </c>
      <c r="C24" s="19">
        <f t="shared" si="0"/>
        <v>0.11235955056179775</v>
      </c>
    </row>
    <row r="25" spans="2:3" x14ac:dyDescent="0.25">
      <c r="B25" s="185">
        <v>11</v>
      </c>
      <c r="C25" s="19">
        <f t="shared" si="0"/>
        <v>0.125</v>
      </c>
    </row>
    <row r="26" spans="2:3" x14ac:dyDescent="0.25">
      <c r="B26" s="185">
        <v>12</v>
      </c>
      <c r="C26" s="19">
        <f t="shared" si="0"/>
        <v>0.13793103448275862</v>
      </c>
    </row>
    <row r="27" spans="2:3" x14ac:dyDescent="0.25">
      <c r="B27" s="185">
        <v>13</v>
      </c>
      <c r="C27" s="19">
        <f t="shared" si="0"/>
        <v>0.15116279069767441</v>
      </c>
    </row>
    <row r="28" spans="2:3" x14ac:dyDescent="0.25">
      <c r="B28" s="185">
        <v>14</v>
      </c>
      <c r="C28" s="19">
        <f t="shared" si="0"/>
        <v>0.16470588235294117</v>
      </c>
    </row>
    <row r="29" spans="2:3" x14ac:dyDescent="0.25">
      <c r="B29" s="185">
        <v>15</v>
      </c>
      <c r="C29" s="19">
        <f t="shared" si="0"/>
        <v>0.17857142857142858</v>
      </c>
    </row>
    <row r="30" spans="2:3" x14ac:dyDescent="0.25">
      <c r="B30" s="185">
        <v>16</v>
      </c>
      <c r="C30" s="19">
        <f t="shared" si="0"/>
        <v>0.19277108433734941</v>
      </c>
    </row>
    <row r="31" spans="2:3" x14ac:dyDescent="0.25">
      <c r="B31" s="185">
        <v>17</v>
      </c>
      <c r="C31" s="19">
        <f t="shared" si="0"/>
        <v>0.2073170731707317</v>
      </c>
    </row>
    <row r="32" spans="2:3" x14ac:dyDescent="0.25">
      <c r="B32" s="185">
        <v>18</v>
      </c>
      <c r="C32" s="19">
        <f t="shared" si="0"/>
        <v>0.22222222222222221</v>
      </c>
    </row>
    <row r="33" spans="2:3" x14ac:dyDescent="0.25">
      <c r="B33" s="185">
        <v>19</v>
      </c>
      <c r="C33" s="19">
        <f t="shared" si="0"/>
        <v>0.23749999999999999</v>
      </c>
    </row>
    <row r="34" spans="2:3" x14ac:dyDescent="0.25">
      <c r="B34" s="185">
        <v>20</v>
      </c>
      <c r="C34" s="19">
        <f t="shared" si="0"/>
        <v>0.25316455696202533</v>
      </c>
    </row>
    <row r="35" spans="2:3" x14ac:dyDescent="0.25">
      <c r="B35" s="185">
        <v>21</v>
      </c>
      <c r="C35" s="19">
        <f t="shared" si="0"/>
        <v>0.26923076923076922</v>
      </c>
    </row>
    <row r="36" spans="2:3" x14ac:dyDescent="0.25">
      <c r="B36" s="185">
        <v>22</v>
      </c>
      <c r="C36" s="19">
        <f t="shared" si="0"/>
        <v>0.2857142857142857</v>
      </c>
    </row>
    <row r="37" spans="2:3" x14ac:dyDescent="0.25">
      <c r="B37" s="185">
        <v>23</v>
      </c>
      <c r="C37" s="19">
        <f t="shared" si="0"/>
        <v>0.30263157894736842</v>
      </c>
    </row>
    <row r="38" spans="2:3" x14ac:dyDescent="0.25">
      <c r="B38" s="185">
        <v>24</v>
      </c>
      <c r="C38" s="19">
        <f t="shared" si="0"/>
        <v>0.32</v>
      </c>
    </row>
    <row r="39" spans="2:3" x14ac:dyDescent="0.25">
      <c r="B39" s="185">
        <v>25</v>
      </c>
      <c r="C39" s="19">
        <f t="shared" si="0"/>
        <v>0.33783783783783783</v>
      </c>
    </row>
    <row r="40" spans="2:3" x14ac:dyDescent="0.25">
      <c r="B40" s="185">
        <v>26</v>
      </c>
      <c r="C40" s="19">
        <f t="shared" si="0"/>
        <v>0.35616438356164382</v>
      </c>
    </row>
    <row r="41" spans="2:3" x14ac:dyDescent="0.25">
      <c r="B41" s="185">
        <v>27</v>
      </c>
      <c r="C41" s="19">
        <f t="shared" si="0"/>
        <v>0.375</v>
      </c>
    </row>
    <row r="42" spans="2:3" x14ac:dyDescent="0.25">
      <c r="B42" s="185">
        <v>28</v>
      </c>
      <c r="C42" s="19">
        <f t="shared" si="0"/>
        <v>0.39436619718309857</v>
      </c>
    </row>
    <row r="43" spans="2:3" x14ac:dyDescent="0.25">
      <c r="B43" s="185">
        <v>29</v>
      </c>
      <c r="C43" s="19">
        <f t="shared" si="0"/>
        <v>0.41428571428571431</v>
      </c>
    </row>
    <row r="44" spans="2:3" x14ac:dyDescent="0.25">
      <c r="B44" s="185">
        <v>30</v>
      </c>
      <c r="C44" s="19">
        <f t="shared" si="0"/>
        <v>0.43478260869565216</v>
      </c>
    </row>
    <row r="45" spans="2:3" x14ac:dyDescent="0.25">
      <c r="B45" s="185">
        <v>31</v>
      </c>
      <c r="C45" s="19">
        <f t="shared" si="0"/>
        <v>0.45588235294117646</v>
      </c>
    </row>
    <row r="46" spans="2:3" x14ac:dyDescent="0.25">
      <c r="B46" s="185">
        <v>32</v>
      </c>
      <c r="C46" s="19">
        <f t="shared" si="0"/>
        <v>0.47761194029850745</v>
      </c>
    </row>
    <row r="47" spans="2:3" x14ac:dyDescent="0.25">
      <c r="B47" s="185">
        <v>33</v>
      </c>
      <c r="C47" s="19">
        <f t="shared" si="0"/>
        <v>0.5</v>
      </c>
    </row>
    <row r="48" spans="2:3" x14ac:dyDescent="0.25">
      <c r="B48" s="185">
        <v>34</v>
      </c>
      <c r="C48" s="19">
        <f t="shared" si="0"/>
        <v>0.52307692307692311</v>
      </c>
    </row>
    <row r="49" spans="2:3" x14ac:dyDescent="0.25">
      <c r="B49" s="185">
        <v>35</v>
      </c>
      <c r="C49" s="19">
        <f t="shared" si="0"/>
        <v>0.546875</v>
      </c>
    </row>
    <row r="50" spans="2:3" x14ac:dyDescent="0.25">
      <c r="B50" s="185">
        <v>36</v>
      </c>
      <c r="C50" s="19">
        <f t="shared" si="0"/>
        <v>0.5714285714285714</v>
      </c>
    </row>
    <row r="51" spans="2:3" x14ac:dyDescent="0.25">
      <c r="B51" s="185">
        <v>37</v>
      </c>
      <c r="C51" s="19">
        <f t="shared" si="0"/>
        <v>0.59677419354838712</v>
      </c>
    </row>
    <row r="52" spans="2:3" x14ac:dyDescent="0.25">
      <c r="B52" s="185">
        <v>38</v>
      </c>
      <c r="C52" s="19">
        <f t="shared" si="0"/>
        <v>0.62295081967213117</v>
      </c>
    </row>
    <row r="53" spans="2:3" x14ac:dyDescent="0.25">
      <c r="B53" s="185">
        <v>39</v>
      </c>
      <c r="C53" s="19">
        <f t="shared" si="0"/>
        <v>0.65</v>
      </c>
    </row>
    <row r="54" spans="2:3" x14ac:dyDescent="0.25">
      <c r="B54" s="185">
        <v>40</v>
      </c>
      <c r="C54" s="19">
        <f t="shared" si="0"/>
        <v>0.67796610169491522</v>
      </c>
    </row>
    <row r="55" spans="2:3" x14ac:dyDescent="0.25">
      <c r="B55" s="185">
        <v>41</v>
      </c>
      <c r="C55" s="19">
        <f t="shared" si="0"/>
        <v>0.7068965517241379</v>
      </c>
    </row>
    <row r="56" spans="2:3" x14ac:dyDescent="0.25">
      <c r="B56" s="185">
        <v>42</v>
      </c>
      <c r="C56" s="19">
        <f t="shared" si="0"/>
        <v>0.73684210526315785</v>
      </c>
    </row>
    <row r="57" spans="2:3" x14ac:dyDescent="0.25">
      <c r="B57" s="185">
        <v>43</v>
      </c>
      <c r="C57" s="19">
        <f t="shared" si="0"/>
        <v>0.7678571428571429</v>
      </c>
    </row>
    <row r="58" spans="2:3" x14ac:dyDescent="0.25">
      <c r="B58" s="185">
        <v>44</v>
      </c>
      <c r="C58" s="19">
        <f t="shared" si="0"/>
        <v>0.8</v>
      </c>
    </row>
    <row r="59" spans="2:3" x14ac:dyDescent="0.25">
      <c r="B59" s="185">
        <v>45</v>
      </c>
      <c r="C59" s="19">
        <f t="shared" si="0"/>
        <v>0.83333333333333337</v>
      </c>
    </row>
    <row r="60" spans="2:3" x14ac:dyDescent="0.25">
      <c r="B60" s="185">
        <v>46</v>
      </c>
      <c r="C60" s="19">
        <f t="shared" si="0"/>
        <v>0.86792452830188682</v>
      </c>
    </row>
    <row r="61" spans="2:3" x14ac:dyDescent="0.25">
      <c r="B61" s="185">
        <v>47</v>
      </c>
      <c r="C61" s="19">
        <f t="shared" si="0"/>
        <v>0.90384615384615385</v>
      </c>
    </row>
    <row r="62" spans="2:3" x14ac:dyDescent="0.25">
      <c r="B62" s="185">
        <v>48</v>
      </c>
      <c r="C62" s="19">
        <f t="shared" si="0"/>
        <v>0.94117647058823528</v>
      </c>
    </row>
    <row r="63" spans="2:3" x14ac:dyDescent="0.25">
      <c r="B63" s="185">
        <v>49</v>
      </c>
      <c r="C63" s="19">
        <f t="shared" si="0"/>
        <v>0.98</v>
      </c>
    </row>
    <row r="64" spans="2:3" x14ac:dyDescent="0.25">
      <c r="B64" s="185">
        <v>50</v>
      </c>
      <c r="C64" s="19">
        <f t="shared" si="0"/>
        <v>1.0204081632653061</v>
      </c>
    </row>
    <row r="65" spans="2:3" x14ac:dyDescent="0.25">
      <c r="B65" s="185">
        <v>51</v>
      </c>
      <c r="C65" s="19">
        <f t="shared" si="0"/>
        <v>1.0625</v>
      </c>
    </row>
    <row r="66" spans="2:3" x14ac:dyDescent="0.25">
      <c r="B66" s="185">
        <v>52</v>
      </c>
      <c r="C66" s="19">
        <f t="shared" si="0"/>
        <v>1.1063829787234043</v>
      </c>
    </row>
    <row r="67" spans="2:3" x14ac:dyDescent="0.25">
      <c r="B67" s="185">
        <v>53</v>
      </c>
      <c r="C67" s="19">
        <f t="shared" si="0"/>
        <v>1.1521739130434783</v>
      </c>
    </row>
    <row r="68" spans="2:3" x14ac:dyDescent="0.25">
      <c r="B68" s="185">
        <v>54</v>
      </c>
      <c r="C68" s="19">
        <f t="shared" si="0"/>
        <v>1.2</v>
      </c>
    </row>
    <row r="69" spans="2:3" x14ac:dyDescent="0.25">
      <c r="B69" s="185">
        <v>55</v>
      </c>
      <c r="C69" s="19">
        <f t="shared" si="0"/>
        <v>1.25</v>
      </c>
    </row>
    <row r="70" spans="2:3" x14ac:dyDescent="0.25">
      <c r="B70" s="185">
        <v>56</v>
      </c>
      <c r="C70" s="19">
        <f t="shared" si="0"/>
        <v>1.3023255813953489</v>
      </c>
    </row>
    <row r="71" spans="2:3" x14ac:dyDescent="0.25">
      <c r="B71" s="185">
        <v>57</v>
      </c>
      <c r="C71" s="19">
        <f t="shared" si="0"/>
        <v>1.3571428571428572</v>
      </c>
    </row>
    <row r="72" spans="2:3" x14ac:dyDescent="0.25">
      <c r="B72" s="185">
        <v>58</v>
      </c>
      <c r="C72" s="19">
        <f t="shared" si="0"/>
        <v>1.4146341463414633</v>
      </c>
    </row>
    <row r="73" spans="2:3" x14ac:dyDescent="0.25">
      <c r="B73" s="185">
        <v>59</v>
      </c>
      <c r="C73" s="19">
        <f t="shared" si="0"/>
        <v>1.4750000000000001</v>
      </c>
    </row>
    <row r="74" spans="2:3" x14ac:dyDescent="0.25">
      <c r="B74" s="185">
        <v>60</v>
      </c>
      <c r="C74" s="19">
        <f t="shared" si="0"/>
        <v>1.5384615384615385</v>
      </c>
    </row>
    <row r="75" spans="2:3" x14ac:dyDescent="0.25">
      <c r="B75" s="185">
        <v>61</v>
      </c>
      <c r="C75" s="19">
        <f t="shared" si="0"/>
        <v>1.6052631578947369</v>
      </c>
    </row>
    <row r="76" spans="2:3" x14ac:dyDescent="0.25">
      <c r="B76" s="185">
        <v>62</v>
      </c>
      <c r="C76" s="19">
        <f t="shared" si="0"/>
        <v>1.6756756756756757</v>
      </c>
    </row>
    <row r="77" spans="2:3" x14ac:dyDescent="0.25">
      <c r="B77" s="185">
        <v>63</v>
      </c>
      <c r="C77" s="19">
        <f t="shared" si="0"/>
        <v>1.75</v>
      </c>
    </row>
    <row r="78" spans="2:3" x14ac:dyDescent="0.25">
      <c r="B78" s="185">
        <v>64</v>
      </c>
      <c r="C78" s="19">
        <f t="shared" si="0"/>
        <v>1.8285714285714285</v>
      </c>
    </row>
    <row r="79" spans="2:3" x14ac:dyDescent="0.25">
      <c r="B79" s="185">
        <v>65</v>
      </c>
      <c r="C79" s="19">
        <f t="shared" si="0"/>
        <v>1.911764705882353</v>
      </c>
    </row>
    <row r="80" spans="2:3" x14ac:dyDescent="0.25">
      <c r="B80" s="185">
        <v>66</v>
      </c>
      <c r="C80" s="19">
        <f t="shared" ref="C80:C112" si="1">B80/($C$8-B80-1)</f>
        <v>2</v>
      </c>
    </row>
    <row r="81" spans="2:3" x14ac:dyDescent="0.25">
      <c r="B81" s="185">
        <v>67</v>
      </c>
      <c r="C81" s="19">
        <f t="shared" si="1"/>
        <v>2.09375</v>
      </c>
    </row>
    <row r="82" spans="2:3" x14ac:dyDescent="0.25">
      <c r="B82" s="185">
        <v>68</v>
      </c>
      <c r="C82" s="19">
        <f t="shared" si="1"/>
        <v>2.193548387096774</v>
      </c>
    </row>
    <row r="83" spans="2:3" x14ac:dyDescent="0.25">
      <c r="B83" s="185">
        <v>69</v>
      </c>
      <c r="C83" s="19">
        <f t="shared" si="1"/>
        <v>2.2999999999999998</v>
      </c>
    </row>
    <row r="84" spans="2:3" x14ac:dyDescent="0.25">
      <c r="B84" s="185">
        <v>70</v>
      </c>
      <c r="C84" s="19">
        <f t="shared" si="1"/>
        <v>2.4137931034482758</v>
      </c>
    </row>
    <row r="85" spans="2:3" x14ac:dyDescent="0.25">
      <c r="B85" s="185">
        <v>71</v>
      </c>
      <c r="C85" s="19">
        <f t="shared" si="1"/>
        <v>2.5357142857142856</v>
      </c>
    </row>
    <row r="86" spans="2:3" x14ac:dyDescent="0.25">
      <c r="B86" s="185">
        <v>72</v>
      </c>
      <c r="C86" s="19">
        <f t="shared" si="1"/>
        <v>2.6666666666666665</v>
      </c>
    </row>
    <row r="87" spans="2:3" x14ac:dyDescent="0.25">
      <c r="B87" s="185">
        <v>73</v>
      </c>
      <c r="C87" s="19">
        <f t="shared" si="1"/>
        <v>2.8076923076923075</v>
      </c>
    </row>
    <row r="88" spans="2:3" x14ac:dyDescent="0.25">
      <c r="B88" s="185">
        <v>74</v>
      </c>
      <c r="C88" s="19">
        <f t="shared" si="1"/>
        <v>2.96</v>
      </c>
    </row>
    <row r="89" spans="2:3" x14ac:dyDescent="0.25">
      <c r="B89" s="185">
        <v>75</v>
      </c>
      <c r="C89" s="19">
        <f t="shared" si="1"/>
        <v>3.125</v>
      </c>
    </row>
    <row r="90" spans="2:3" x14ac:dyDescent="0.25">
      <c r="B90" s="185">
        <v>76</v>
      </c>
      <c r="C90" s="19">
        <f t="shared" si="1"/>
        <v>3.3043478260869565</v>
      </c>
    </row>
    <row r="91" spans="2:3" x14ac:dyDescent="0.25">
      <c r="B91" s="185">
        <v>77</v>
      </c>
      <c r="C91" s="19">
        <f t="shared" si="1"/>
        <v>3.5</v>
      </c>
    </row>
    <row r="92" spans="2:3" x14ac:dyDescent="0.25">
      <c r="B92" s="185">
        <v>78</v>
      </c>
      <c r="C92" s="19">
        <f t="shared" si="1"/>
        <v>3.7142857142857144</v>
      </c>
    </row>
    <row r="93" spans="2:3" x14ac:dyDescent="0.25">
      <c r="B93" s="185">
        <v>79</v>
      </c>
      <c r="C93" s="19">
        <f t="shared" si="1"/>
        <v>3.95</v>
      </c>
    </row>
    <row r="94" spans="2:3" x14ac:dyDescent="0.25">
      <c r="B94" s="185">
        <v>80</v>
      </c>
      <c r="C94" s="19">
        <f t="shared" si="1"/>
        <v>4.2105263157894735</v>
      </c>
    </row>
    <row r="95" spans="2:3" x14ac:dyDescent="0.25">
      <c r="B95" s="185">
        <v>81</v>
      </c>
      <c r="C95" s="19">
        <f t="shared" si="1"/>
        <v>4.5</v>
      </c>
    </row>
    <row r="96" spans="2:3" x14ac:dyDescent="0.25">
      <c r="B96" s="185">
        <v>82</v>
      </c>
      <c r="C96" s="19">
        <f t="shared" si="1"/>
        <v>4.8235294117647056</v>
      </c>
    </row>
    <row r="97" spans="2:3" x14ac:dyDescent="0.25">
      <c r="B97" s="185">
        <v>83</v>
      </c>
      <c r="C97" s="19">
        <f t="shared" si="1"/>
        <v>5.1875</v>
      </c>
    </row>
    <row r="98" spans="2:3" x14ac:dyDescent="0.25">
      <c r="B98" s="185">
        <v>84</v>
      </c>
      <c r="C98" s="19">
        <f t="shared" si="1"/>
        <v>5.6</v>
      </c>
    </row>
    <row r="99" spans="2:3" x14ac:dyDescent="0.25">
      <c r="B99" s="185">
        <v>85</v>
      </c>
      <c r="C99" s="19">
        <f t="shared" si="1"/>
        <v>6.0714285714285712</v>
      </c>
    </row>
    <row r="100" spans="2:3" x14ac:dyDescent="0.25">
      <c r="B100" s="185">
        <v>86</v>
      </c>
      <c r="C100" s="19">
        <f t="shared" si="1"/>
        <v>6.615384615384615</v>
      </c>
    </row>
    <row r="101" spans="2:3" x14ac:dyDescent="0.25">
      <c r="B101" s="185">
        <v>87</v>
      </c>
      <c r="C101" s="19">
        <f t="shared" si="1"/>
        <v>7.25</v>
      </c>
    </row>
    <row r="102" spans="2:3" x14ac:dyDescent="0.25">
      <c r="B102" s="185">
        <v>88</v>
      </c>
      <c r="C102" s="19">
        <f t="shared" si="1"/>
        <v>8</v>
      </c>
    </row>
    <row r="103" spans="2:3" x14ac:dyDescent="0.25">
      <c r="B103" s="185">
        <v>89</v>
      </c>
      <c r="C103" s="19">
        <f t="shared" si="1"/>
        <v>8.9</v>
      </c>
    </row>
    <row r="104" spans="2:3" x14ac:dyDescent="0.25">
      <c r="B104" s="185">
        <v>90</v>
      </c>
      <c r="C104" s="19">
        <f t="shared" si="1"/>
        <v>10</v>
      </c>
    </row>
    <row r="105" spans="2:3" x14ac:dyDescent="0.25">
      <c r="B105" s="185">
        <v>91</v>
      </c>
      <c r="C105" s="19">
        <f t="shared" si="1"/>
        <v>11.375</v>
      </c>
    </row>
    <row r="106" spans="2:3" x14ac:dyDescent="0.25">
      <c r="B106" s="185">
        <v>92</v>
      </c>
      <c r="C106" s="19">
        <f t="shared" si="1"/>
        <v>13.142857142857142</v>
      </c>
    </row>
    <row r="107" spans="2:3" x14ac:dyDescent="0.25">
      <c r="B107" s="185">
        <v>93</v>
      </c>
      <c r="C107" s="19">
        <f t="shared" si="1"/>
        <v>15.5</v>
      </c>
    </row>
    <row r="108" spans="2:3" x14ac:dyDescent="0.25">
      <c r="B108" s="185">
        <v>94</v>
      </c>
      <c r="C108" s="19">
        <f t="shared" si="1"/>
        <v>18.8</v>
      </c>
    </row>
    <row r="109" spans="2:3" x14ac:dyDescent="0.25">
      <c r="B109" s="185">
        <v>95</v>
      </c>
      <c r="C109" s="19">
        <f t="shared" si="1"/>
        <v>23.75</v>
      </c>
    </row>
    <row r="110" spans="2:3" x14ac:dyDescent="0.25">
      <c r="B110" s="185">
        <v>96</v>
      </c>
      <c r="C110" s="19">
        <f t="shared" si="1"/>
        <v>32</v>
      </c>
    </row>
    <row r="111" spans="2:3" x14ac:dyDescent="0.25">
      <c r="B111" s="185">
        <v>97</v>
      </c>
      <c r="C111" s="19">
        <f t="shared" si="1"/>
        <v>48.5</v>
      </c>
    </row>
    <row r="112" spans="2:3" x14ac:dyDescent="0.25">
      <c r="B112" s="185">
        <v>98</v>
      </c>
      <c r="C112" s="19">
        <f t="shared" si="1"/>
        <v>98</v>
      </c>
    </row>
    <row r="113" spans="2:2" x14ac:dyDescent="0.25">
      <c r="B113" s="185"/>
    </row>
    <row r="114" spans="2:2" x14ac:dyDescent="0.25">
      <c r="B114" s="185"/>
    </row>
    <row r="115" spans="2:2" x14ac:dyDescent="0.25">
      <c r="B115" s="185"/>
    </row>
    <row r="116" spans="2:2" x14ac:dyDescent="0.25">
      <c r="B116" s="185"/>
    </row>
    <row r="117" spans="2:2" x14ac:dyDescent="0.25">
      <c r="B117" s="185"/>
    </row>
    <row r="118" spans="2:2" x14ac:dyDescent="0.25">
      <c r="B118" s="185"/>
    </row>
    <row r="119" spans="2:2" x14ac:dyDescent="0.25">
      <c r="B119" s="185"/>
    </row>
    <row r="120" spans="2:2" x14ac:dyDescent="0.25">
      <c r="B120" s="185"/>
    </row>
    <row r="121" spans="2:2" x14ac:dyDescent="0.25">
      <c r="B121" s="185"/>
    </row>
    <row r="122" spans="2:2" x14ac:dyDescent="0.25">
      <c r="B122" s="185"/>
    </row>
    <row r="123" spans="2:2" x14ac:dyDescent="0.25">
      <c r="B123" s="185"/>
    </row>
    <row r="124" spans="2:2" x14ac:dyDescent="0.25">
      <c r="B124" s="185"/>
    </row>
    <row r="125" spans="2:2" x14ac:dyDescent="0.25">
      <c r="B125" s="185"/>
    </row>
    <row r="126" spans="2:2" x14ac:dyDescent="0.25">
      <c r="B126" s="185"/>
    </row>
    <row r="127" spans="2:2" x14ac:dyDescent="0.25">
      <c r="B127" s="185"/>
    </row>
    <row r="128" spans="2:2" x14ac:dyDescent="0.25">
      <c r="B128" s="185"/>
    </row>
    <row r="129" spans="2:2" x14ac:dyDescent="0.25">
      <c r="B129" s="185"/>
    </row>
    <row r="130" spans="2:2" x14ac:dyDescent="0.25">
      <c r="B130" s="185"/>
    </row>
    <row r="131" spans="2:2" x14ac:dyDescent="0.25">
      <c r="B131" s="185"/>
    </row>
    <row r="132" spans="2:2" x14ac:dyDescent="0.25">
      <c r="B132" s="185"/>
    </row>
    <row r="133" spans="2:2" x14ac:dyDescent="0.25">
      <c r="B133" s="185"/>
    </row>
    <row r="134" spans="2:2" x14ac:dyDescent="0.25">
      <c r="B134" s="185"/>
    </row>
    <row r="135" spans="2:2" x14ac:dyDescent="0.25">
      <c r="B135" s="185"/>
    </row>
    <row r="136" spans="2:2" x14ac:dyDescent="0.25">
      <c r="B136" s="185"/>
    </row>
    <row r="137" spans="2:2" x14ac:dyDescent="0.25">
      <c r="B137" s="185"/>
    </row>
    <row r="138" spans="2:2" x14ac:dyDescent="0.25">
      <c r="B138" s="185"/>
    </row>
    <row r="139" spans="2:2" x14ac:dyDescent="0.25">
      <c r="B139" s="185"/>
    </row>
    <row r="140" spans="2:2" x14ac:dyDescent="0.25">
      <c r="B140" s="185"/>
    </row>
    <row r="141" spans="2:2" x14ac:dyDescent="0.25">
      <c r="B141" s="185"/>
    </row>
    <row r="142" spans="2:2" x14ac:dyDescent="0.25">
      <c r="B142" s="185"/>
    </row>
    <row r="143" spans="2:2" x14ac:dyDescent="0.25">
      <c r="B143" s="185"/>
    </row>
    <row r="144" spans="2:2" x14ac:dyDescent="0.25">
      <c r="B144" s="185"/>
    </row>
    <row r="145" spans="2:2" x14ac:dyDescent="0.25">
      <c r="B145" s="185"/>
    </row>
    <row r="146" spans="2:2" x14ac:dyDescent="0.25">
      <c r="B146" s="185"/>
    </row>
    <row r="147" spans="2:2" x14ac:dyDescent="0.25">
      <c r="B147" s="185"/>
    </row>
  </sheetData>
  <mergeCells count="1">
    <mergeCell ref="A1:N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Table Of Contents</vt:lpstr>
      <vt:lpstr>Starbucks</vt:lpstr>
      <vt:lpstr>R squared</vt:lpstr>
      <vt:lpstr>R squared - horizontal data</vt:lpstr>
      <vt:lpstr>U.S. State Population</vt:lpstr>
      <vt:lpstr>Correlation_Shapes</vt:lpstr>
      <vt:lpstr>Stock Correlation</vt:lpstr>
      <vt:lpstr>Stocks and Bonds</vt:lpstr>
      <vt:lpstr>Modern Family</vt:lpstr>
      <vt:lpstr>Modern Family Multiple Regressi</vt:lpstr>
      <vt:lpstr>Exponential Regression</vt:lpstr>
      <vt:lpstr>Moores Law Regression</vt:lpstr>
      <vt:lpstr>Multiple Regression-2 Independe</vt:lpstr>
      <vt:lpstr>Multiple Regression-3 Indepen</vt:lpstr>
      <vt:lpstr>Intercept</vt:lpstr>
      <vt:lpstr>Residual</vt:lpstr>
      <vt:lpstr>Adjusted R2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2017-06-18T05:40:27Z</dcterms:modified>
</cp:coreProperties>
</file>